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245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Andrey</author>
    <author>G_Alex</author>
    <author>&lt;&gt;</author>
    <author>Волченков Сергей</author>
    <author>Alex</author>
    <author>Alex Sosedko</author>
    <author>Сергей</author>
    <author>Соседко А.Н.</author>
    <author>onikitina</author>
    <author>nsavkin</author>
    <author>Lexy</author>
  </authors>
  <commentList>
    <comment ref="C16" authorId="0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---------------------
&lt;Обоснование коэффициентов&gt;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
&lt;Строка задания НР для БИМ&gt;: (&lt;Сумма НР по позиции для БИМ&gt;)
&lt;Строка задания СП для БИМ&gt;: (&lt;Сумма СП по позиции для БИМ&gt;)
&lt;Дополнительные начисления к индексу&gt;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168" authorId="2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70" authorId="2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3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3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4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4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4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5" authorId="4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4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4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4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5" authorId="5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5" authorId="4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5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5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5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5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5" authorId="5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5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5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5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5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5" authorId="7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5" authorId="7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Q25" authorId="8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O25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O25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5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5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5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N25" authorId="5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5" authorId="5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5" authorId="5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5" authorId="4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5" authorId="4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5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5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5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5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5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8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<sst xmlns="http://schemas.openxmlformats.org/spreadsheetml/2006/main" count="2046" uniqueCount="472">
  <si>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</si>
  <si>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</si>
  <si>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</si>
  <si>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</si>
  <si>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</si>
  <si>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</si>
  <si>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</si>
  <si>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</si>
  <si>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</si>
  <si>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</si>
  <si>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</si>
  <si>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</si>
  <si>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</si>
  <si>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</si>
  <si>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</si>
  <si>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</si>
  <si>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</si>
  <si>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</si>
  <si>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</si>
  <si>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Текущая стоимость всего</t>
  </si>
  <si>
    <t/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</si>
  <si>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</si>
  <si>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</si>
  <si>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</si>
  <si>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</si>
  <si>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</si>
  <si>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</si>
  <si>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</si>
  <si>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</si>
  <si>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</si>
  <si>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</si>
  <si>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</si>
  <si>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</si>
  <si>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 xml:space="preserve">   Раздел 1. Подготовительные работы (минимальный перечень)</t>
  </si>
  <si>
    <t>ФЕРр68-14-1      
Разборка бортовых камней на бетонном основании
100 м
---------------------
НР 88%=104%*0.85 от ФОТ: (27446)
СП 48%=60%*0.8 от ФОТ: (14971</t>
  </si>
  <si>
    <t>889,15
----------
94,56</t>
  </si>
  <si>
    <t>1929
----------
205</t>
  </si>
  <si>
    <t>4,785
----------
20,211</t>
  </si>
  <si>
    <t>9232
----------
4147</t>
  </si>
  <si>
    <t>Р</t>
  </si>
  <si>
    <t>НР 88%=104%*0.85 от ФОТ</t>
  </si>
  <si>
    <t>СП 48%=60%*0.8 от ФОТ</t>
  </si>
  <si>
    <t>ФОТ</t>
  </si>
  <si>
    <t>ФЕРр68-12-7      
Снятие деформированных асфальтобетонных покрытий самоходными холодными фрезами с шириной фрезерования 500-1000 мм и толщиной слоя до 50 мм
1000 м2
---------------------
НР 88%=104%*0.85 от ФОТ: (526)
СП 48%=60%*0.8 от ФОТ: (287</t>
  </si>
  <si>
    <t>3754,78
----------
250,76</t>
  </si>
  <si>
    <t>359
----------
24</t>
  </si>
  <si>
    <t>4,854
----------
20,234</t>
  </si>
  <si>
    <t>1742
----------
485</t>
  </si>
  <si>
    <t>ФЕР07-05-030-11      
Установка мелких конструкций (подоконников, сливов, парапетов и др.) массой до 0,5 т (демонтаж лавочек на бетонных столбах)
100 шт
---------------------
(Коэффициент к норме расхода строительных машин и механизмов ЭМ-ЗПМ=0,8; ЗПМ=0,8;
Коэффициент к норме расхода материалов МАТ=0;
Коэффициент к заработной плате основных рабочих ОЗП=0,8)
---------------------
НР 132%=155%*0,85 от ФОТ: (4114)
СП 68%=100%*(0.85*0.8) от ФОТ: (2120</t>
  </si>
  <si>
    <t>217,73
----------
34,02</t>
  </si>
  <si>
    <t>35
----------
5</t>
  </si>
  <si>
    <t>21,13
----------
5,191</t>
  </si>
  <si>
    <t>7,134
----------
20,223</t>
  </si>
  <si>
    <t>249
----------
110</t>
  </si>
  <si>
    <t>НР 132%=155%*0,85 от ФОТ</t>
  </si>
  <si>
    <t>СП 68%=100%*(0.85*0.8) от ФОТ</t>
  </si>
  <si>
    <t>ФССЦпг01-01-01-043      
Погрузка при автомобильных перевозках мусора строительного с погрузкой экскаваторами емкостью ковша до 0,5 м3
1 т груза
---------------------
НР 0%=0%*0.85 от ФОТ)
СП 0%=0%*0.8 от ФОТ</t>
  </si>
  <si>
    <t>НР 0%=0%*0.85 от ФОТ</t>
  </si>
  <si>
    <t>СП 0%=0%*0.8 от ФОТ</t>
  </si>
  <si>
    <t>ФССЦпг03-21-01-011      
Перевозка грузов I класса автомобилями-самосвалами грузоподъемностью 10 т работающих вне карьера на расстояние до 11 км (вывоз мусора)
1 т груза
---------------------
НР 0%=0%*0.85 от ФОТ)
СП 0%=0%*0.8 от ФОТ</t>
  </si>
  <si>
    <t xml:space="preserve"> </t>
  </si>
  <si>
    <t xml:space="preserve">    В том числе (справочно):</t>
  </si>
  <si>
    <t xml:space="preserve">       оплата труда рабочих</t>
  </si>
  <si>
    <t xml:space="preserve">       эксплуатация машин и механизмов</t>
  </si>
  <si>
    <t xml:space="preserve">          в т.ч. оплата труда машинистов</t>
  </si>
  <si>
    <t>Накладные расходы</t>
  </si>
  <si>
    <t>Сметная прибыль</t>
  </si>
  <si>
    <t xml:space="preserve">    Итого</t>
  </si>
  <si>
    <t xml:space="preserve">    Итого по разделу 1 Подготовительные работы (минимальный перечень)</t>
  </si>
  <si>
    <t xml:space="preserve">   Раздел 2. Подготовительные работы (дополнительный перечень)</t>
  </si>
  <si>
    <t>ФЕР06-01-015-06      
Установка стальных конструкций, остающихся в теле бетона(демонтаж металлических элементов малых архитектурных форм)
т
---------------------
(Коэффициент к норме расхода строительных машин и механизмов ЭМ-ЗПМ=0,7; ЗПМ=0,7;
Коэффициент к норме расхода материалов МАТ=0;
Коэффициент к заработной плате основных рабочих ОЗП=0,7)
---------------------
НР 89%=105%*0,85 от ФОТ: (655)
СП 44%=65%*(0.85*0.8) от ФОТ: (324</t>
  </si>
  <si>
    <t>308,17
----------
37,9</t>
  </si>
  <si>
    <t>31
----------
4</t>
  </si>
  <si>
    <t>21,13
----------
5,62</t>
  </si>
  <si>
    <t>7,198
----------
20,207</t>
  </si>
  <si>
    <t>222
----------
77</t>
  </si>
  <si>
    <t>НР 89%=105%*0,85 от ФОТ</t>
  </si>
  <si>
    <t>СП 44%=65%*(0.85*0.8) от ФОТ</t>
  </si>
  <si>
    <t>С сборник "Цены в строительстве 2017-4"
В      
Возврат металлолома
т</t>
  </si>
  <si>
    <t xml:space="preserve">
----------
1091,82</t>
  </si>
  <si>
    <t xml:space="preserve">
----------
764</t>
  </si>
  <si>
    <t xml:space="preserve">
----------
7,46</t>
  </si>
  <si>
    <t xml:space="preserve">
----------
5701</t>
  </si>
  <si>
    <t>В</t>
  </si>
  <si>
    <t>ФЕРр68-3-2      
Валка деревьев в городских условиях (липа, сосна, кедр, тополь) диаметром более 300 мм
м3
---------------------
НР 88%=104%*0.85 от ФОТ: (2267)
СП 48%=60%*0.8 от ФОТ: (1236</t>
  </si>
  <si>
    <t>ФЕРр68-1-1      
Корчевка пней вручную давностью рубки до трех лет диаметром до 500 мм мягких пород
шт
---------------------
НР 88%=104%*0.85 от ФОТ: (1077)
СП 48%=60%*0.8 от ФОТ: (588</t>
  </si>
  <si>
    <t>1,97
----------
0,35</t>
  </si>
  <si>
    <t>4
----------
1</t>
  </si>
  <si>
    <t>7,807
----------
20,086</t>
  </si>
  <si>
    <t>31
----------
14</t>
  </si>
  <si>
    <t>ФЕРр68-3-6      
Валка деревьев в городских условиях (дуб, бук, граб, клен, ясень) диаметром более 300 мм
м3
---------------------
НР 88%=104%*0.85 от ФОТ: (3863)
СП 48%=60%*0.8 от ФОТ: (2107</t>
  </si>
  <si>
    <t>ФЕРр68-1-2      
Корчевка пней вручную давностью рубки до трех лет диаметром до 500 мм твердых пород
шт
---------------------
НР 88%=104%*0.85 от ФОТ: (2903)
СП 48%=60%*0.8 от ФОТ: (1584</t>
  </si>
  <si>
    <t>8
----------
1</t>
  </si>
  <si>
    <t>62
----------
28</t>
  </si>
  <si>
    <t>ФЕР01-02-114-02      
Корчевка кустарника и мелколесья в грунтах естественного залегания корчевателями-собирателями на тракторе мощностью 79 кВт (108 л.с.), кустарник и мелколесье средние
га
---------------------
НР 68%=80%*0,85 от ФОТ: (1)
СП 31%=45%*(0.85*0.8) от ФОТ: (1</t>
  </si>
  <si>
    <t>657,93
----------
106,56</t>
  </si>
  <si>
    <t>7,805
----------
20,259</t>
  </si>
  <si>
    <t>4
----------
2</t>
  </si>
  <si>
    <t>НР 68%=80%*0,85 от ФОТ</t>
  </si>
  <si>
    <t>СП 31%=45%*(0.85*0.8) от ФОТ</t>
  </si>
  <si>
    <t>ФССЦпг03-21-01-011      
Перевозка грузов I класса автомобилями-самосвалами грузоподъемностью 10 т работающих вне карьера на расстояние до 11 км (вывоз мусора и пней)
1 т груза
---------------------
НР 0%=0%*0.85 от ФОТ)
СП 0%=0%*0.8 от ФОТ</t>
  </si>
  <si>
    <t xml:space="preserve">    Итого по разделу 2 Подготовительные работы (дополнительный перечень)</t>
  </si>
  <si>
    <t xml:space="preserve">   Раздел 3. Площадки и проезды (минимальный перечень)</t>
  </si>
  <si>
    <t xml:space="preserve">   Проезд А2 (S=316,66м2, Lб.к.=194,22п.м)# меняются только бордюры на основном проезде</t>
  </si>
  <si>
    <t>ФЕР27-04-007-01      
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 под бордюры
1000 м2
---------------------
НР 121%=142%*0.85 от ФОТ: (770)
СП 65%=95%*(0.85*0.8) от ФОТ: (413</t>
  </si>
  <si>
    <t>301,96
----------
20487,6</t>
  </si>
  <si>
    <t>3756,43
----------
470,99</t>
  </si>
  <si>
    <t>12
----------
820</t>
  </si>
  <si>
    <t>150
----------
19</t>
  </si>
  <si>
    <t>21,13
----------
6,248</t>
  </si>
  <si>
    <t>7,285
----------
20,234</t>
  </si>
  <si>
    <t>255
----------
5120</t>
  </si>
  <si>
    <t>1095
----------
381</t>
  </si>
  <si>
    <t>НР 121%=142%*0.85 от ФОТ</t>
  </si>
  <si>
    <t>СП 65%=95%*(0.85*0.8) от ФОТ</t>
  </si>
  <si>
    <t>ФССЦ-02.2.05.04-0087      
Щебень из природного камня для строительных работ марка 600, фракция 10-20 мм
м3</t>
  </si>
  <si>
    <t xml:space="preserve">
----------
118,6</t>
  </si>
  <si>
    <t xml:space="preserve">
----------
-563</t>
  </si>
  <si>
    <t xml:space="preserve">
----------
7,558</t>
  </si>
  <si>
    <t xml:space="preserve">
----------
-4258</t>
  </si>
  <si>
    <t>М</t>
  </si>
  <si>
    <t>ФССЦ-02.2.05.04-0089      
Щебень из природного камня для строительных работ марка 600, фракция 40-70 мм
м3</t>
  </si>
  <si>
    <t xml:space="preserve">
----------
98,6</t>
  </si>
  <si>
    <t xml:space="preserve">
----------
468</t>
  </si>
  <si>
    <t xml:space="preserve">
----------
6,116</t>
  </si>
  <si>
    <t xml:space="preserve">
----------
2864</t>
  </si>
  <si>
    <t>ФЕР27-04-007-04      
На каждый 1 см изменения толщины слоя добавлять к нормам 27-04-007-01, 27-04-007-02, 27-04-007-03
1000 м2
---------------------
(Коэффициент к норме расхода строительных машин и механизмов ЭМ-ЗПМ=3; ЗПМ=3;
Коэффициент к норме расхода материалов МАТ=3;
Коэффициент к заработной плате основных рабочих ОЗП=3)
---------------------
НР 121%=142%*0.85 от ФОТ: (701)
СП 65%=95%*(0.85*0.8) от ФОТ: (376</t>
  </si>
  <si>
    <t xml:space="preserve">
----------
3727,08</t>
  </si>
  <si>
    <t>715,23
----------
90,42</t>
  </si>
  <si>
    <t xml:space="preserve">
----------
1180</t>
  </si>
  <si>
    <t>226
----------
29</t>
  </si>
  <si>
    <t>21,13
----------
6,116</t>
  </si>
  <si>
    <t>7,261
----------
20,221</t>
  </si>
  <si>
    <t xml:space="preserve">
----------
7218</t>
  </si>
  <si>
    <t>1645
----------
579</t>
  </si>
  <si>
    <t>ФЕР27-02-010-02      
Установка бортовых камней бетонных при других видах покрытий
100 м
---------------------
НР 121%=142%*0.85 от ФОТ: (34219)
СП 65%=95%*(0.85*0.8) от ФОТ: (18382</t>
  </si>
  <si>
    <t>643,64
----------
3690,05</t>
  </si>
  <si>
    <t>78,78
----------
9,64</t>
  </si>
  <si>
    <t>1319
----------
7565</t>
  </si>
  <si>
    <t>161
----------
20</t>
  </si>
  <si>
    <t>21,13
----------
5,184</t>
  </si>
  <si>
    <t>7,408
----------
20,232</t>
  </si>
  <si>
    <t>27880
----------
39215</t>
  </si>
  <si>
    <t>1196
----------
400</t>
  </si>
  <si>
    <t>ФССЦ-04.1.02.05-0006      
Бетон тяжелый, класс В15 (М200)
м3</t>
  </si>
  <si>
    <t xml:space="preserve">
----------
592,76</t>
  </si>
  <si>
    <t xml:space="preserve">
----------
-7172</t>
  </si>
  <si>
    <t xml:space="preserve">
----------
5,308</t>
  </si>
  <si>
    <t xml:space="preserve">
----------
-38071</t>
  </si>
  <si>
    <t>ФССЦ-04.1.02.05-0003      
Бетон тяжелый, класс В7,5 (М100)
м3</t>
  </si>
  <si>
    <t xml:space="preserve">
----------
560</t>
  </si>
  <si>
    <t xml:space="preserve">
----------
6434</t>
  </si>
  <si>
    <t xml:space="preserve">
----------
4,904</t>
  </si>
  <si>
    <t xml:space="preserve">
----------
31554</t>
  </si>
  <si>
    <t>С прайс-лист ИП Секрета "Монолит"      
Бортовой камень БР78.30.16
шт.</t>
  </si>
  <si>
    <t xml:space="preserve">
----------
33,26</t>
  </si>
  <si>
    <t xml:space="preserve">
----------
8747</t>
  </si>
  <si>
    <t xml:space="preserve">
----------
65256</t>
  </si>
  <si>
    <t>ФЕР27-06-026-01      
Розлив вяжущих материалов
т
---------------------
НР 121%=142%*0.85 от ФОТ: (11)
СП 65%=95%*(0.85*0.8) от ФОТ: (6</t>
  </si>
  <si>
    <t>39,1
----------
7,15</t>
  </si>
  <si>
    <t>8,151
----------
20,197</t>
  </si>
  <si>
    <t>20
----------
9</t>
  </si>
  <si>
    <t>ФССЦ-01.2.01.01-0001      
Битумы нефтяные дорожные жидкие, класс МГ, СГ
т</t>
  </si>
  <si>
    <t xml:space="preserve">
----------
1487,6</t>
  </si>
  <si>
    <t xml:space="preserve">
----------
98</t>
  </si>
  <si>
    <t xml:space="preserve">
----------
11,549</t>
  </si>
  <si>
    <t xml:space="preserve">
----------
1132</t>
  </si>
  <si>
    <t>ФЕР27-06-020-01      
Устройство покрытия толщиной 4 см из горячих асфальтобетонных смесей плотных мелкозернистых типа АБВ, плотность каменных материалов 2,5-2,9 т/м3
1000 м2
---------------------
НР 121%=142%*0.85 от ФОТ: (1269)
СП 65%=95%*(0.85*0.8) от ФОТ: (682</t>
  </si>
  <si>
    <t>368,45
----------
230,67</t>
  </si>
  <si>
    <t>2385,37
----------
263,01</t>
  </si>
  <si>
    <t>29
----------
18</t>
  </si>
  <si>
    <t>191
----------
21</t>
  </si>
  <si>
    <t>21,13
----------
4,494</t>
  </si>
  <si>
    <t>6,752
----------
20,247</t>
  </si>
  <si>
    <t>623
----------
83</t>
  </si>
  <si>
    <t>1288
----------
426</t>
  </si>
  <si>
    <t>ФЕР27-06-021-01      
На каждые 0,5 см изменения толщины покрытия добавлять к норме 27-06-020-01
1000 м2
---------------------
(Коэффициент к норме расхода строительных машин и механизмов ЭМ-ЗПМ=4; ЗПМ=4;
Коэффициент к норме расхода материалов МАТ=4;
Коэффициент к заработной плате основных рабочих ОЗП=4)
---------------------
НР 121%=142%*0.85 от ФОТ: (7)
СП 65%=95%*(0.85*0.8) от ФОТ: (4</t>
  </si>
  <si>
    <t>ФССЦ-01.2.01.01-0019      
Битумы нефтяные дорожные марки БНД-60/90, БНД 90/130
т</t>
  </si>
  <si>
    <t xml:space="preserve">
----------
1690</t>
  </si>
  <si>
    <t xml:space="preserve">
----------
2</t>
  </si>
  <si>
    <t xml:space="preserve">
----------
9,245</t>
  </si>
  <si>
    <t xml:space="preserve">
----------
20</t>
  </si>
  <si>
    <t>ФССЦ-04.2.01.01-0036      
Смеси асфальтобетонные дорожные, аэродромные и асфальтобетон (горячие для плотного асфальтобетона мелко и крупнозернистые, песчаные), марка II, тип Б
т</t>
  </si>
  <si>
    <t xml:space="preserve">
----------
512,4</t>
  </si>
  <si>
    <t xml:space="preserve">
----------
5944</t>
  </si>
  <si>
    <t xml:space="preserve">
----------
6,517</t>
  </si>
  <si>
    <t xml:space="preserve">
----------
38736</t>
  </si>
  <si>
    <t xml:space="preserve">       материалы</t>
  </si>
  <si>
    <t xml:space="preserve">    Итого по разделу 3 Площадки и проезды (минимальный перечень)</t>
  </si>
  <si>
    <t xml:space="preserve">   Раздел 4. Площадки и проезды (дополнительный перечень)</t>
  </si>
  <si>
    <t xml:space="preserve">   Площадки для временного хранения автомобилей А3 (S=337,54м2, Lб.к.=49,92п.м)#</t>
  </si>
  <si>
    <t>ФЕР01-02-061-01      
Засыпка вручную траншей, пазух котлованов и ям, группа грунтов 1
100 м3
---------------------
НР 68%=80%*0,85 от ФОТ: (19)
СП 31%=45%*(0.85*0.8) от ФОТ: (9</t>
  </si>
  <si>
    <t>ФЕР01-01-013-13      
Разработка грунта с погрузкой на автомобили-самосвалы экскаваторами с ковшом вместимостью 0,5 (0,5-0,63) м3, группа грунтов 1
1000 м3
---------------------
НР 81%=95%*0,85 от ФОТ: (1059)
СП 34%=50%*(0.85*0.8) от ФОТ: (445</t>
  </si>
  <si>
    <t>95,94
----------
3,25</t>
  </si>
  <si>
    <t>3395,72
----------
482,36</t>
  </si>
  <si>
    <t>377
----------
54</t>
  </si>
  <si>
    <t>21,13
----------
9,652</t>
  </si>
  <si>
    <t>7,309
----------
20,225</t>
  </si>
  <si>
    <t>225
----------
3</t>
  </si>
  <si>
    <t>2755
----------
1083</t>
  </si>
  <si>
    <t>НР 81%=95%*0,85 от ФОТ</t>
  </si>
  <si>
    <t>СП 34%=50%*(0.85*0.8) от ФОТ</t>
  </si>
  <si>
    <t>ФССЦпг03-21-01-010      
Перевозка грузов I класса автомобилями-самосвалами грузоподъемностью 10 т работающих вне карьера на расстояние до 10 км
1 т груза
---------------------
НР 0%=0%*0.85 от ФОТ)
СП 0%=0%*0.8 от ФОТ</t>
  </si>
  <si>
    <t>177,6
(111*1,6)</t>
  </si>
  <si>
    <t>ФЕР27-04-001-01      
Устройство подстилающих и выравнивающих слоев оснований из песка. Укатка катками каменных материалов с пределом прочности на сжатие до 68,6(700) мПа (кгс/см2), применен коэффициент к нормам эксплуатации машин, в том числе затратам труда машинистов, - 0,65
100 м3
---------------------
(Коэффициент к норме расхода строительных машин и механизмов ЭМ-ЗПМ=0,65; ЗПМ=0,65)
---------------------
НР 121%=142%*0.85 от ФОТ: (1888)
СП 65%=95%*(0.85*0.8) от ФОТ: (1014</t>
  </si>
  <si>
    <t>126,07
----------
12,2</t>
  </si>
  <si>
    <t>1393,42
----------
115,43</t>
  </si>
  <si>
    <t>39
----------
4</t>
  </si>
  <si>
    <t>435
----------
36</t>
  </si>
  <si>
    <t>21,13
----------
8,111</t>
  </si>
  <si>
    <t>6,649
----------
20,239</t>
  </si>
  <si>
    <t>831
----------
31</t>
  </si>
  <si>
    <t>2891
----------
729</t>
  </si>
  <si>
    <t>ФССЦ-02.3.01.02-0015      
Песок природный для строительных работ средний
м3</t>
  </si>
  <si>
    <t>34,32
(31,2*1,1)</t>
  </si>
  <si>
    <t xml:space="preserve">
----------
55,26</t>
  </si>
  <si>
    <t xml:space="preserve">
----------
1897</t>
  </si>
  <si>
    <t xml:space="preserve">
----------
9,721</t>
  </si>
  <si>
    <t xml:space="preserve">
----------
18436</t>
  </si>
  <si>
    <t>ФЕР27-04-007-01      
Устройство оснований толщиной 15 см из щебня фракции 40-70 мм при укатке каменных материалов с пределом прочности на сжатие до 68,6 МПа (700 кгс/см2) однослойных
1000 м2
---------------------
НР 121%=142%*0.85 от ФОТ: (5775)
СП 65%=95%*(0.85*0.8) от ФОТ: (3102</t>
  </si>
  <si>
    <t>91
----------
6146</t>
  </si>
  <si>
    <t>1127
----------
141</t>
  </si>
  <si>
    <t>1914
----------
38402</t>
  </si>
  <si>
    <t>8210
----------
2859</t>
  </si>
  <si>
    <t xml:space="preserve">
----------
-534</t>
  </si>
  <si>
    <t xml:space="preserve">
----------
-4034</t>
  </si>
  <si>
    <t xml:space="preserve">
----------
444</t>
  </si>
  <si>
    <t xml:space="preserve">
----------
2714</t>
  </si>
  <si>
    <t>ФЕР27-04-007-04      
На каждый 1 см изменения толщины слоя добавлять к нормам 27-04-007-01, 27-04-007-02, 27-04-007-03
1000 м2
---------------------
(Коэффициент к норме расхода строительных машин и механизмов ЭМ-ЗПМ=3; ЗПМ=3;
Коэффициент к норме расхода материалов МАТ=3;
Коэффициент к заработной плате основных рабочих ОЗП=3)
---------------------
НР 121%=142%*0.85 от ФОТ: (664)
СП 65%=95%*(0.85*0.8) от ФОТ: (357</t>
  </si>
  <si>
    <t xml:space="preserve">
----------
1118</t>
  </si>
  <si>
    <t>215
----------
27</t>
  </si>
  <si>
    <t xml:space="preserve">
----------
6838</t>
  </si>
  <si>
    <t>1558
----------
549</t>
  </si>
  <si>
    <t>ФЕР27-02-010-02      
Установка бортовых камней бетонных при других видах покрытий
100 м
---------------------
НР 121%=142%*0.85 от ФОТ: (8332)
СП 65%=95%*(0.85*0.8) от ФОТ: (4476</t>
  </si>
  <si>
    <t>321
----------
1842</t>
  </si>
  <si>
    <t>39
----------
5</t>
  </si>
  <si>
    <t>6789
----------
9549</t>
  </si>
  <si>
    <t>291
----------
97</t>
  </si>
  <si>
    <t xml:space="preserve">
----------
-1746</t>
  </si>
  <si>
    <t xml:space="preserve">
----------
-9267</t>
  </si>
  <si>
    <t xml:space="preserve">
----------
1568</t>
  </si>
  <si>
    <t xml:space="preserve">
----------
7689</t>
  </si>
  <si>
    <t xml:space="preserve">
----------
2129</t>
  </si>
  <si>
    <t xml:space="preserve">
----------
15880</t>
  </si>
  <si>
    <t>ФЕР27-06-026-01      
Розлив вяжущих материалов
т
---------------------
НР 121%=142%*0.85 от ФОТ: (42)
СП 65%=95%*(0.85*0.8) от ФОТ: (23</t>
  </si>
  <si>
    <t>0,24
(300*0,8/1000)</t>
  </si>
  <si>
    <t>9
----------
2</t>
  </si>
  <si>
    <t>76
----------
35</t>
  </si>
  <si>
    <t xml:space="preserve">
----------
368</t>
  </si>
  <si>
    <t xml:space="preserve">
----------
4247</t>
  </si>
  <si>
    <t>ФЕР27-06-020-01      
Устройство покрытия толщиной 4 см из горячих асфальтобетонных смесей плотных мелкозернистых типа АБВ, плотность каменных материалов 2,5-2,9 т/м3
1000 м2
---------------------
НР 121%=142%*0.85 от ФОТ: (4760)
СП 65%=95%*(0.85*0.8) от ФОТ: (2557</t>
  </si>
  <si>
    <t>111
----------
69</t>
  </si>
  <si>
    <t>716
----------
79</t>
  </si>
  <si>
    <t>2336
----------
311</t>
  </si>
  <si>
    <t>4832
----------
1598</t>
  </si>
  <si>
    <t>ФЕР27-06-021-01      
На каждые 0,5 см изменения толщины покрытия добавлять к норме 27-06-020-01
1000 м2
---------------------
(Коэффициент к норме расхода строительных машин и механизмов ЭМ-ЗПМ=4; ЗПМ=4;
Коэффициент к норме расхода материалов МАТ=4;
Коэффициент к заработной плате основных рабочих ОЗП=4)
---------------------
НР 121%=142%*0.85 от ФОТ: (27)
СП 65%=95%*(0.85*0.8) от ФОТ: (14</t>
  </si>
  <si>
    <t xml:space="preserve">
----------
8</t>
  </si>
  <si>
    <t xml:space="preserve">
----------
77</t>
  </si>
  <si>
    <t xml:space="preserve">
----------
22289</t>
  </si>
  <si>
    <t xml:space="preserve">
----------
145260</t>
  </si>
  <si>
    <t xml:space="preserve">    Итого по разделу 4 Площадки и проезды (дополнительный перечень)</t>
  </si>
  <si>
    <t xml:space="preserve">   Раздел 5. Дренажный колодец (дополнительный перечень)</t>
  </si>
  <si>
    <t>ФЕР01-01-003-14      
Разработка грунта в отвал экскаваторами "драглайн" или "обратная лопата" с ковшом вместимостью 0,5 (0,5-0,63) м3, группа грунтов 2
1000 м3
---------------------
НР 81%=95%*0,85 от ФОТ: (53)
СП 34%=50%*(0.85*0.8) от ФОТ: (22</t>
  </si>
  <si>
    <t>2950
----------
398,25</t>
  </si>
  <si>
    <t>19
----------
3</t>
  </si>
  <si>
    <t>6,68
----------
20,225</t>
  </si>
  <si>
    <t>125
----------
51</t>
  </si>
  <si>
    <t>ФЕР01-02-057-02      
Разработка грунта вручную в траншеях глубиной до 2 м без креплений с откосами, группа грунтов 2. Доработка вручную, зачистка дна и стенок с выкидкой грунта в котлованах и траншеях, разработанных механизированным способом, применен коэффициент к нормам затрат труда рабочих - 1,2
100 м3
---------------------
(Коэффициент к заработной плате основных рабочих ОЗП=1,2)
---------------------
НР 68%=80%*0,85 от ФОТ: (71)
СП 31%=45%*(0.85*0.8) от ФОТ: (32</t>
  </si>
  <si>
    <t>ФЕР23-01-001-01      
Устройство основания под трубопроводы песчаного
10 м3
---------------------
НР 111%=130%*0.85 от ФОТ: (53)
СП 61%=89%*(0.85*0.8) от ФОТ: (29</t>
  </si>
  <si>
    <t>31,5
----------
3,52</t>
  </si>
  <si>
    <t>6,88
----------
20,216</t>
  </si>
  <si>
    <t>6
----------
2</t>
  </si>
  <si>
    <t>НР 111%=130%*0.85 от ФОТ</t>
  </si>
  <si>
    <t>СП 61%=89%*(0.85*0.8) от ФОТ</t>
  </si>
  <si>
    <t xml:space="preserve">
----------
16</t>
  </si>
  <si>
    <t xml:space="preserve">
----------
154</t>
  </si>
  <si>
    <t>ФЕР23-01-001-02      
Устройство основания под трубопроводы щебеночного
10 м3
---------------------
НР 111%=130%*0.85 от ФОТ: (108)
СП 61%=89%*(0.85*0.8) от ФОТ: (59</t>
  </si>
  <si>
    <t>83,33
----------
1482,5</t>
  </si>
  <si>
    <t>45,89
----------
5,13</t>
  </si>
  <si>
    <t>4
----------
77</t>
  </si>
  <si>
    <t>21,13
----------
7,108</t>
  </si>
  <si>
    <t>6,881
----------
20,212</t>
  </si>
  <si>
    <t>92
----------
548</t>
  </si>
  <si>
    <t>16
----------
5</t>
  </si>
  <si>
    <t>ФССЦ-02.2.05.04-0081      
Щебень из природного камня для строительных работ марка 400, фракция 10-20 мм
м3</t>
  </si>
  <si>
    <t xml:space="preserve">
----------
-77</t>
  </si>
  <si>
    <t xml:space="preserve">
----------
7,108</t>
  </si>
  <si>
    <t xml:space="preserve">
----------
-548</t>
  </si>
  <si>
    <t xml:space="preserve">
----------
64</t>
  </si>
  <si>
    <t xml:space="preserve">
----------
392</t>
  </si>
  <si>
    <t>ФЕР06-01-030-04      
Устройство стен и перегородок бетонных высотой до 3 м, толщиной до 300 мм
100 м3
---------------------
НР 89%=105%*0,85 от ФОТ: (9914)
СП 44%=65%*(0.85*0.8) от ФОТ: (4901</t>
  </si>
  <si>
    <t>7289,65
----------
8044,49</t>
  </si>
  <si>
    <t>4277,93
----------
654,26</t>
  </si>
  <si>
    <t>485
----------
536</t>
  </si>
  <si>
    <t>285
----------
44</t>
  </si>
  <si>
    <t>21,13
----------
6,612</t>
  </si>
  <si>
    <t>7,106
----------
20,225</t>
  </si>
  <si>
    <t>10258
----------
3542</t>
  </si>
  <si>
    <t>2025
----------
881</t>
  </si>
  <si>
    <t xml:space="preserve">
----------
4025</t>
  </si>
  <si>
    <t xml:space="preserve">
----------
21364</t>
  </si>
  <si>
    <t>ФЕР07-02-002-01      
Установка опор из плит и колец диаметром до 1000 мм
100 м3
---------------------
НР 111%=130%*0,85 от ФОТ: (349)
СП 58%=85%*(0.85*0.8) от ФОТ: (182</t>
  </si>
  <si>
    <t>4911,61
----------
1354,87</t>
  </si>
  <si>
    <t>20104,37
----------
2756,02</t>
  </si>
  <si>
    <t>10
----------
3</t>
  </si>
  <si>
    <t>40
----------
5</t>
  </si>
  <si>
    <t>21,13
----------
6,301</t>
  </si>
  <si>
    <t>7,644
----------
20,22</t>
  </si>
  <si>
    <t>204
----------
17</t>
  </si>
  <si>
    <t>303
----------
110</t>
  </si>
  <si>
    <t>НР 111%=130%*0,85 от ФОТ</t>
  </si>
  <si>
    <t>СП 58%=85%*(0.85*0.8) от ФОТ</t>
  </si>
  <si>
    <t>С прайс-лист интернет магазин Standartpark      
Дождеприемный колодец секционный BetoMax ДК-30.38.44-Б-В бетонный с решеткой (комплект)
шт.</t>
  </si>
  <si>
    <t xml:space="preserve">
----------
1653,38</t>
  </si>
  <si>
    <t xml:space="preserve">
----------
3307</t>
  </si>
  <si>
    <t xml:space="preserve">
----------
24668</t>
  </si>
  <si>
    <t>С прайс-лист интернет магазин Standartpark      
Дождеприемный колодец секционный BetoMax ДК-30.38.44-Б-С бетонный(средняя часть)
шт.</t>
  </si>
  <si>
    <t xml:space="preserve">
----------
629,53</t>
  </si>
  <si>
    <t xml:space="preserve">
----------
2518</t>
  </si>
  <si>
    <t xml:space="preserve">
----------
18785</t>
  </si>
  <si>
    <t>ФЕР23-04-011-01      
Установка люка
шт
---------------------
НР 111%=130%*0.85 от ФОТ: (567)
СП 61%=89%*(0.85*0.8) от ФОТ: (312</t>
  </si>
  <si>
    <t>11,32
----------
0,53</t>
  </si>
  <si>
    <t>4,6
----------
0,81</t>
  </si>
  <si>
    <t>23
----------
1</t>
  </si>
  <si>
    <t>21,13
----------
5,038</t>
  </si>
  <si>
    <t>7,8
----------
20,247</t>
  </si>
  <si>
    <t>478
----------
5</t>
  </si>
  <si>
    <t>72
----------
33</t>
  </si>
  <si>
    <t>ФЕР01-02-061-02      
Засыпка вручную траншей, пазух котлованов и ям, группа грунтов 2
100 м3
---------------------
НР 68%=80%*0,85 от ФОТ: (266)
СП 31%=45%*(0.85*0.8) от ФОТ: (121</t>
  </si>
  <si>
    <t xml:space="preserve">    Итого по разделу 5 Дренажный колодец (дополнительный перечень)</t>
  </si>
  <si>
    <t xml:space="preserve">   Раздел 6. Малые архитектурные формы (минимальный перечень)</t>
  </si>
  <si>
    <t xml:space="preserve">   Урны, лавочки#</t>
  </si>
  <si>
    <t>ФЕР01-02-058-02      
Копание ям вручную без креплений для стоек и столбов без откосов глубиной до 0,7 м, группа грунтов 2
100 м3
---------------------
НР 68%=80%*0,85 от ФОТ: (192)
СП 31%=45%*(0.85*0.8) от ФОТ: (87</t>
  </si>
  <si>
    <t>ФЕР06-01-001-01      
Устройство бетонной подготовки
100 м3
---------------------
НР 89%=105%*0,85 от ФОТ: (189)
СП 44%=65%*(0.85*0.8) от ФОТ: (93</t>
  </si>
  <si>
    <t>1404
----------
905,49</t>
  </si>
  <si>
    <t>1587,74
----------
244,51</t>
  </si>
  <si>
    <t>9
----------
6</t>
  </si>
  <si>
    <t>10
----------
1</t>
  </si>
  <si>
    <t>21,13
----------
7,522</t>
  </si>
  <si>
    <t>7,097
----------
20,225</t>
  </si>
  <si>
    <t>182
----------
42</t>
  </si>
  <si>
    <t>69
----------
30</t>
  </si>
  <si>
    <t xml:space="preserve">
----------
350</t>
  </si>
  <si>
    <t xml:space="preserve">
----------
1714</t>
  </si>
  <si>
    <t>ФЕР06-01-015-06      
Установка стальных конструкций, остающихся в теле бетона (установка урны)
т
---------------------
НР 89%=105%*0,85 от ФОТ: (421)
СП 44%=65%*(0.85*0.8) от ФОТ: (208</t>
  </si>
  <si>
    <t>445,69
----------
72,21</t>
  </si>
  <si>
    <t>440,24
----------
54,14</t>
  </si>
  <si>
    <t>20
----------
3</t>
  </si>
  <si>
    <t>20
----------
2</t>
  </si>
  <si>
    <t>424
----------
18</t>
  </si>
  <si>
    <t>143
----------
49</t>
  </si>
  <si>
    <t>ФЦЭМ-91.17.04-233      
Установки для сварки ручной дуговой (постоянного тока)
маш.-ч
---------------------
НР 0% от ФОТ)
СП 0% от ФОТ</t>
  </si>
  <si>
    <t>НР 0% от ФОТ</t>
  </si>
  <si>
    <t>СП 0% от ФОТ</t>
  </si>
  <si>
    <t>ФССЦ-01.7.11.07-0032      
Электроды диаметром 4 мм Э42
т</t>
  </si>
  <si>
    <t xml:space="preserve">
----------
10315,01</t>
  </si>
  <si>
    <t xml:space="preserve">
----------
-3</t>
  </si>
  <si>
    <t xml:space="preserve">
----------
5,62</t>
  </si>
  <si>
    <t xml:space="preserve">
----------
-19</t>
  </si>
  <si>
    <t>С прайс-лист ООО"Алтаймастер"      
Урна №4
шт.</t>
  </si>
  <si>
    <t xml:space="preserve">
----------
272,64</t>
  </si>
  <si>
    <t xml:space="preserve">
----------
2454</t>
  </si>
  <si>
    <t xml:space="preserve">
----------
18305</t>
  </si>
  <si>
    <t>С прайс-лист ООО"САН"      
Скамья садово-парковая на ж/б ножках (с установкой)
шт.</t>
  </si>
  <si>
    <t xml:space="preserve">
----------
1142,82</t>
  </si>
  <si>
    <t xml:space="preserve">
----------
20571</t>
  </si>
  <si>
    <t xml:space="preserve">
----------
153458</t>
  </si>
  <si>
    <t xml:space="preserve">    Итого по разделу 6 Малые архитектурные формы (минимальный перечень)</t>
  </si>
  <si>
    <t xml:space="preserve">   Раздел 7. Малые архитектурные формы  (дополнительный перечень)</t>
  </si>
  <si>
    <t>ФЕР01-02-058-02      
Копание ям вручную без креплений для стоек и столбов без откосов глубиной до 0,7 м, группа грунтов 2
100 м3
---------------------
НР 68%=80%*0,85 от ФОТ: (1883)
СП 31%=45%*(0.85*0.8) от ФОТ: (858</t>
  </si>
  <si>
    <t>ФЕР06-01-001-01      
Устройство бетонной подготовки
100 м3
---------------------
НР 89%=105%*0,85 от ФОТ: (1540)
СП 44%=65%*(0.85*0.8) от ФОТ: (761</t>
  </si>
  <si>
    <t>70
----------
45</t>
  </si>
  <si>
    <t>79
----------
12</t>
  </si>
  <si>
    <t>1483
----------
341</t>
  </si>
  <si>
    <t>563
----------
247</t>
  </si>
  <si>
    <t xml:space="preserve">
----------
286</t>
  </si>
  <si>
    <t xml:space="preserve">
----------
1401</t>
  </si>
  <si>
    <t xml:space="preserve">   #Игровые комплексы#</t>
  </si>
  <si>
    <t>С прайс-лист ООО"САН"      
Диван-качеля 002607(с установкой)
шт.</t>
  </si>
  <si>
    <t xml:space="preserve">
----------
3360,29</t>
  </si>
  <si>
    <t xml:space="preserve">
----------
3360</t>
  </si>
  <si>
    <t xml:space="preserve">
----------
25068</t>
  </si>
  <si>
    <t>С прайс-лист ООО"Алтаймастер"      
Столик с лавочками СЛ-1
шт.</t>
  </si>
  <si>
    <t xml:space="preserve">
----------
1425,23</t>
  </si>
  <si>
    <t xml:space="preserve">
----------
1425</t>
  </si>
  <si>
    <t xml:space="preserve">
----------
10632</t>
  </si>
  <si>
    <t xml:space="preserve">    Итого по разделу 7 Малые архитектурные формы  (дополнительный перечень)</t>
  </si>
  <si>
    <t xml:space="preserve">   Раздел 8. Тротуар (дополнительный перечень)</t>
  </si>
  <si>
    <t xml:space="preserve">   Покрытие тротуара А5 (S=42,5м2, L=85,02п.м)#</t>
  </si>
  <si>
    <t>ФЕР01-02-061-01      
Засыпка вручную траншей, пазух котлованов и ям, группа грунтов 1
100 м3 грунта
---------------------
НР 68%=80%*0,85 от ФОТ: (349)
СП 31%=45%*(0.85*0.8) от ФОТ: (159</t>
  </si>
  <si>
    <t>ФЕР01-01-013-13      
Разработка грунта с погрузкой на автомобили-самосвалы экскаваторами с ковшом вместимостью 0,5 (0,5-0,63) м3, группа грунтов 1
1000 м3
---------------------
НР 81%=95%*0,85 от ФОТ: (130)
СП 34%=50%*(0.85*0.8) от ФОТ: (55</t>
  </si>
  <si>
    <t>46
----------
7</t>
  </si>
  <si>
    <t>340
----------
133</t>
  </si>
  <si>
    <t>ФЕР27-04-001-02      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 (под бортовой камень)
100 м3
---------------------
(Коэффициент к норме расхода строительных машин и механизмов ЭМ-ЗПМ=0,65; ЗПМ=0,65)
---------------------
НР 121%=142%*0.85 от ФОТ: (254)
СП 65%=95%*(0.85*0.8) от ФОТ: (137</t>
  </si>
  <si>
    <t>126,07
----------
17,08</t>
  </si>
  <si>
    <t>1455,15
----------
122,17</t>
  </si>
  <si>
    <t>5
----------
1</t>
  </si>
  <si>
    <t>59
----------
5</t>
  </si>
  <si>
    <t>6,695
----------
20,238</t>
  </si>
  <si>
    <t>109
----------
6</t>
  </si>
  <si>
    <t>397
----------
101</t>
  </si>
  <si>
    <t>ФССЦ-02.2.04.03-0003      
Смесь песчано-гравийная природная
м3</t>
  </si>
  <si>
    <t xml:space="preserve">
----------
60</t>
  </si>
  <si>
    <t xml:space="preserve">
----------
299</t>
  </si>
  <si>
    <t xml:space="preserve">
----------
11,818</t>
  </si>
  <si>
    <t xml:space="preserve">
----------
3530</t>
  </si>
  <si>
    <t>ФЕР27-02-010-02      
Установка бортовых камней бетонных при других видах покрытий
100 м
---------------------
НР 121%=142%*0.85 от ФОТ: (14192)
СП 65%=95%*(0.85*0.8) от ФОТ: (7624</t>
  </si>
  <si>
    <t>547
----------
3137</t>
  </si>
  <si>
    <t>67
----------
8</t>
  </si>
  <si>
    <t>11563
----------
16264</t>
  </si>
  <si>
    <t>496
----------
166</t>
  </si>
  <si>
    <t xml:space="preserve">
----------
-2973</t>
  </si>
  <si>
    <t xml:space="preserve">
----------
-15783</t>
  </si>
  <si>
    <t>ФССЦ-04.3.01.09-0014      
Раствор готовый кладочный цементный марки 100
м3</t>
  </si>
  <si>
    <t xml:space="preserve">
----------
519,8</t>
  </si>
  <si>
    <t xml:space="preserve">
----------
-27</t>
  </si>
  <si>
    <t xml:space="preserve">
----------
5,191</t>
  </si>
  <si>
    <t xml:space="preserve">
----------
-138</t>
  </si>
  <si>
    <t xml:space="preserve">
----------
9</t>
  </si>
  <si>
    <t xml:space="preserve">
----------
45</t>
  </si>
  <si>
    <t xml:space="preserve">
----------
2285</t>
  </si>
  <si>
    <t xml:space="preserve">
----------
11205</t>
  </si>
  <si>
    <t>С прайс-лист ИП Секрета "Монолит"      
Бортовой камень БР78.20.8
шт.</t>
  </si>
  <si>
    <t xml:space="preserve">
----------
12,34</t>
  </si>
  <si>
    <t xml:space="preserve">
----------
1345</t>
  </si>
  <si>
    <t xml:space="preserve">
----------
10035</t>
  </si>
  <si>
    <t>ФЕР27-04-001-02      
Устройство подстилающих и выравнивающих слоев оснований из песчано-гравийной смеси, дресвы. Укатка катками каменных материалов с пределом прочности на сжатие до 68,6(700) мПа (кгс/см2), применен коэффициент к стоимости эксплуатации машин, в том числе оплате труда машинистов, - 0,65
100 м3
---------------------
(Коэффициент к норме расхода строительных машин и механизмов ЭМ-ЗПМ=0,65; ЗПМ=0,65)
---------------------
НР 121%=142%*0.85 от ФОТ: (317)
СП 65%=95%*(0.85*0.8) от ФОТ: (170</t>
  </si>
  <si>
    <t>6
----------
1</t>
  </si>
  <si>
    <t>74
----------
6</t>
  </si>
  <si>
    <t>136
----------
7</t>
  </si>
  <si>
    <t>497
----------
126</t>
  </si>
  <si>
    <t xml:space="preserve">
----------
373</t>
  </si>
  <si>
    <t xml:space="preserve">
----------
4412</t>
  </si>
  <si>
    <t>ФЕР27-07-001-01      
Устройство асфальтобетонных покрытий дорожек и тротуаров однослойных из литой мелкозернистой асфальто-бетонной смеси толщиной 3 см
100 м2
---------------------
НР 121%=142%*0.85 от ФОТ: (1534)
СП 65%=95%*(0.85*0.8) от ФОТ: (824</t>
  </si>
  <si>
    <t>140,46
----------
101,4</t>
  </si>
  <si>
    <t>57,25
----------
0,8</t>
  </si>
  <si>
    <t>60
----------
43</t>
  </si>
  <si>
    <t>21,13
----------
9,245</t>
  </si>
  <si>
    <t>2,959
----------
20,313</t>
  </si>
  <si>
    <t>1261
----------
398</t>
  </si>
  <si>
    <t>72
----------
7</t>
  </si>
  <si>
    <t xml:space="preserve">
----------
12</t>
  </si>
  <si>
    <t xml:space="preserve">
----------
114</t>
  </si>
  <si>
    <t>ФССЦ-04.2.01.01-0038      
Смеси асфальтобетонные дорожные, аэродромные и асфальтобетон (горячие для плотного асфальтобетона мелко и крупнозернистые, песчаные), марка II, тип Г
т</t>
  </si>
  <si>
    <t xml:space="preserve">
----------
571,6</t>
  </si>
  <si>
    <t xml:space="preserve">
----------
1735</t>
  </si>
  <si>
    <t xml:space="preserve">
----------
6,32</t>
  </si>
  <si>
    <t xml:space="preserve">
----------
10962</t>
  </si>
  <si>
    <t xml:space="preserve">    Итого по разделу 8 Тротуар (дополнительный перечень)</t>
  </si>
  <si>
    <t>Итого прямые затраты по смете</t>
  </si>
  <si>
    <t>5370
----------
104350</t>
  </si>
  <si>
    <t>9646
----------
768</t>
  </si>
  <si>
    <t>113514
----------
705949</t>
  </si>
  <si>
    <t>71299
----------
15549</t>
  </si>
  <si>
    <t xml:space="preserve">    ВСЕГО по смете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</si>
  <si>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 84 077 * 1,08</t>
  </si>
  <si>
    <t>С учетом индекса-дефлятора К=1,05</t>
  </si>
  <si>
    <t>НДС 20%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</si>
  <si>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 84 077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</si>
  <si>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47 299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</si>
  <si>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100 100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</si>
  <si>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323 619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</si>
  <si>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239 717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</si>
  <si>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31 052 * (1,08*1,05*1,2)</t>
  </si>
  <si>
    <t xml:space="preserve">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95 602 * (1,08*1,05*1,2)</t>
  </si>
  <si>
    <t xml:space="preserve">       Поправочный коэффициент, учитывающие региональные особенности зон строительства Алтайского края при определении сметной стоимости строительно-монтажных работ (III зона строительства), индекс-дефлятор, НДС 175 785 * (1,08*1,05*1,2)</t>
  </si>
  <si>
    <t xml:space="preserve">Основание: ГП </t>
  </si>
  <si>
    <t>Составлен в базисных и текущих ценах по состоянию на  4 квартал   2017г.</t>
  </si>
  <si>
    <t>на выполнение работ по ремонту придомовой территории по программе "Формирование современной городской среды" по адресу пре. Гражданский, 36</t>
  </si>
  <si>
    <t>ЛОКАЛЬНАЯ  СМЕТА № 8</t>
  </si>
  <si>
    <t>к информационной карте</t>
  </si>
  <si>
    <t>Приложение № 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</si>
</sst>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6" borderId="3" applyNumberFormat="0" applyAlignment="0" applyProtection="0"/>
    <xf numFmtId="0" fontId="37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7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1" borderId="0" applyNumberFormat="0" applyBorder="0" applyAlignment="0" applyProtection="0"/>
    <xf numFmtId="0" fontId="2" fillId="0" borderId="0">
      <alignment/>
      <protection/>
    </xf>
  </cellStyleXfs>
  <cellXfs count="12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/>
    </xf>
    <xf numFmtId="0" fontId="8" fillId="0" borderId="0" xfId="58" applyFont="1">
      <alignment/>
      <protection/>
    </xf>
    <xf numFmtId="0" fontId="8" fillId="0" borderId="0" xfId="63" applyFont="1" applyBorder="1">
      <alignment horizontal="center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53" applyFont="1" applyBorder="1" applyAlignment="1">
      <alignment horizontal="right" vertical="top" wrapText="1"/>
      <protection/>
    </xf>
    <xf numFmtId="0" fontId="8" fillId="0" borderId="0" xfId="53" applyFont="1" applyAlignment="1">
      <alignment horizontal="right" vertical="top" wrapText="1"/>
      <protection/>
    </xf>
    <xf numFmtId="0" fontId="8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1" xfId="63" applyFont="1">
      <alignment horizontal="center"/>
    </xf>
    <xf numFmtId="0" fontId="2" fillId="0" borderId="1" xfId="63" applyNumberFormat="1" applyFont="1">
      <alignment horizontal="center"/>
    </xf>
    <xf numFmtId="2" fontId="2" fillId="0" borderId="1" xfId="63" applyNumberFormat="1" applyFont="1">
      <alignment horizontal="center"/>
    </xf>
    <xf numFmtId="0" fontId="2" fillId="32" borderId="1" xfId="63" applyFont="1" applyFill="1">
      <alignment horizontal="center"/>
    </xf>
    <xf numFmtId="49" fontId="2" fillId="0" borderId="1" xfId="63" applyNumberFormat="1" applyFont="1">
      <alignment horizontal="center"/>
    </xf>
    <xf numFmtId="0" fontId="2" fillId="0" borderId="0" xfId="63" applyFont="1" applyBorder="1">
      <alignment horizontal="center"/>
    </xf>
    <xf numFmtId="2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53" applyFont="1" applyBorder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right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right" vertical="top" wrapText="1"/>
    </xf>
    <xf numFmtId="2" fontId="12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8" fillId="0" borderId="13" xfId="69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7" xfId="69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20" xfId="81" applyFont="1" applyBorder="1" applyAlignment="1">
      <alignment horizontal="center" wrapText="1"/>
      <protection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8" fillId="0" borderId="0" xfId="81" applyFont="1" applyBorder="1" applyAlignment="1">
      <alignment horizontal="left" vertical="center" wrapText="1"/>
      <protection/>
    </xf>
    <xf numFmtId="0" fontId="8" fillId="0" borderId="0" xfId="81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top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U594"/>
  <sheetViews>
    <sheetView showGridLines="0" tabSelected="1" zoomScale="92" zoomScaleNormal="92" zoomScaleSheetLayoutView="100" zoomScalePageLayoutView="0" workbookViewId="0" topLeftCell="A1">
      <selection activeCell="K4" sqref="K4:O4"/>
    </sheetView>
  </sheetViews>
  <sheetFormatPr defaultColWidth="9.00390625" defaultRowHeight="12.75"/>
  <cols>
    <col min="1" max="1" width="8.125" style="1" customWidth="1"/>
    <col min="2" max="2" width="39.25390625" style="1" customWidth="1"/>
    <col min="3" max="3" width="11.875" style="1" customWidth="1"/>
    <col min="4" max="5" width="12.125" style="1" customWidth="1"/>
    <col min="6" max="6" width="12.00390625" style="1" customWidth="1"/>
    <col min="7" max="8" width="12.125" style="1" customWidth="1"/>
    <col min="9" max="9" width="10.75390625" style="1" customWidth="1"/>
    <col min="10" max="10" width="11.75390625" style="1" customWidth="1"/>
    <col min="11" max="11" width="11.625" style="2" customWidth="1"/>
    <col min="12" max="13" width="12.125" style="2" customWidth="1"/>
    <col min="14" max="14" width="10.875" style="2" customWidth="1"/>
    <col min="15" max="17" width="10.625" style="2" hidden="1" customWidth="1"/>
    <col min="18" max="19" width="9.125" style="2" hidden="1" customWidth="1"/>
    <col min="20" max="21" width="16.125" style="2" hidden="1" customWidth="1"/>
    <col min="22" max="44" width="9.125" style="2" hidden="1" customWidth="1"/>
    <col min="45" max="45" width="1.75390625" style="2" customWidth="1"/>
    <col min="46" max="46" width="1.875" style="2" customWidth="1"/>
    <col min="47" max="16384" width="9.125" style="2" customWidth="1"/>
  </cols>
  <sheetData>
    <row r="1" ht="12.75"/>
    <row r="2" spans="11:15" ht="15">
      <c r="K2" s="115"/>
      <c r="L2" s="115"/>
      <c r="M2" s="115"/>
      <c r="N2" s="115"/>
      <c r="O2" s="86"/>
    </row>
    <row r="3" spans="1:45" ht="12.75">
      <c r="A3" s="3"/>
      <c r="B3" s="4"/>
      <c r="C3" s="5"/>
      <c r="D3" s="6"/>
      <c r="E3" s="3"/>
      <c r="F3" s="7"/>
      <c r="G3" s="7"/>
      <c r="H3" s="7"/>
      <c r="I3" s="7"/>
      <c r="J3" s="7"/>
      <c r="K3" s="116"/>
      <c r="L3" s="117"/>
      <c r="M3" s="117"/>
      <c r="N3" s="117"/>
      <c r="O3" s="117"/>
      <c r="P3" s="8"/>
      <c r="Q3" s="8"/>
      <c r="R3" s="8"/>
      <c r="S3" s="8"/>
      <c r="T3" s="8"/>
      <c r="U3" s="8"/>
      <c r="V3" s="8"/>
      <c r="W3" s="8"/>
      <c r="X3" s="8"/>
      <c r="Y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9"/>
    </row>
    <row r="4" spans="1:45" ht="12.75">
      <c r="A4" s="3"/>
      <c r="B4" s="10"/>
      <c r="C4" s="5"/>
      <c r="D4" s="6"/>
      <c r="E4" s="3"/>
      <c r="F4" s="7"/>
      <c r="G4" s="7"/>
      <c r="H4" s="7"/>
      <c r="I4" s="7"/>
      <c r="J4" s="7"/>
      <c r="K4" s="118" t="s">
        <v>471</v>
      </c>
      <c r="L4" s="118"/>
      <c r="M4" s="118"/>
      <c r="N4" s="118"/>
      <c r="O4" s="118"/>
      <c r="P4" s="8"/>
      <c r="Q4" s="8"/>
      <c r="R4" s="8"/>
      <c r="S4" s="8"/>
      <c r="T4" s="8"/>
      <c r="U4" s="8"/>
      <c r="V4" s="8"/>
      <c r="W4" s="8"/>
      <c r="X4" s="8"/>
      <c r="Y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</row>
    <row r="5" spans="1:45" ht="12.75">
      <c r="A5" s="3"/>
      <c r="B5" s="10"/>
      <c r="C5" s="5"/>
      <c r="D5" s="6"/>
      <c r="E5" s="3"/>
      <c r="F5" s="7"/>
      <c r="G5" s="7"/>
      <c r="H5" s="7"/>
      <c r="I5" s="7"/>
      <c r="J5" s="7"/>
      <c r="K5" s="117" t="s">
        <v>470</v>
      </c>
      <c r="L5" s="117"/>
      <c r="M5" s="117"/>
      <c r="N5" s="117"/>
      <c r="O5" s="117"/>
      <c r="P5" s="8"/>
      <c r="Q5" s="8"/>
      <c r="R5" s="8"/>
      <c r="S5" s="8"/>
      <c r="T5" s="8"/>
      <c r="U5" s="8"/>
      <c r="V5" s="8"/>
      <c r="W5" s="8"/>
      <c r="X5" s="8"/>
      <c r="Y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9"/>
    </row>
    <row r="6" spans="1:45" ht="12.75" customHeight="1">
      <c r="A6" s="3"/>
      <c r="B6" s="10"/>
      <c r="C6" s="5"/>
      <c r="D6" s="6"/>
      <c r="E6" s="3"/>
      <c r="F6" s="7"/>
      <c r="G6" s="7"/>
      <c r="H6" s="7"/>
      <c r="I6" s="7"/>
      <c r="J6" s="7"/>
      <c r="K6" s="114"/>
      <c r="L6" s="114"/>
      <c r="M6" s="114"/>
      <c r="N6" s="114"/>
      <c r="O6" s="114"/>
      <c r="P6" s="8"/>
      <c r="Q6" s="8"/>
      <c r="R6" s="8"/>
      <c r="S6" s="8"/>
      <c r="T6" s="8"/>
      <c r="U6" s="8"/>
      <c r="V6" s="8"/>
      <c r="W6" s="8"/>
      <c r="X6" s="8"/>
      <c r="Y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/>
    </row>
    <row r="7" spans="2:45" ht="12.75">
      <c r="B7" s="11"/>
      <c r="C7" s="11"/>
      <c r="D7" s="11"/>
      <c r="I7" s="12"/>
      <c r="J7" s="1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9"/>
    </row>
    <row r="8" spans="1:45" ht="12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9"/>
    </row>
    <row r="9" spans="1:45" ht="12.75" customHeight="1">
      <c r="A9" s="107" t="s">
        <v>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9"/>
    </row>
    <row r="10" spans="1:45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9"/>
    </row>
    <row r="11" spans="1:45" ht="15.75">
      <c r="A11" s="112" t="s">
        <v>469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9"/>
    </row>
    <row r="12" spans="1:45" ht="12.75" customHeight="1">
      <c r="A12" s="108" t="s">
        <v>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9"/>
    </row>
    <row r="13" spans="1:45" ht="12.75" customHeight="1">
      <c r="A13" s="113" t="s">
        <v>468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9"/>
    </row>
    <row r="14" spans="1:45" ht="12.75">
      <c r="A14" s="109" t="s">
        <v>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9"/>
    </row>
    <row r="15" spans="1:45" ht="12.75">
      <c r="A15" s="14"/>
      <c r="B15" s="15"/>
      <c r="C15" s="16"/>
      <c r="D15" s="17"/>
      <c r="E15" s="17"/>
      <c r="F15" s="17"/>
      <c r="G15" s="17"/>
      <c r="H15" s="17"/>
      <c r="I15" s="17"/>
      <c r="J15" s="1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9"/>
    </row>
    <row r="16" spans="1:45" ht="12.75">
      <c r="A16" s="18"/>
      <c r="B16" s="19" t="s">
        <v>466</v>
      </c>
      <c r="C16" s="20"/>
      <c r="D16" s="17"/>
      <c r="E16" s="17"/>
      <c r="F16" s="17"/>
      <c r="G16" s="17"/>
      <c r="H16" s="17"/>
      <c r="I16" s="19"/>
      <c r="J16" s="1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9"/>
    </row>
    <row r="17" spans="1:45" ht="12.75">
      <c r="A17" s="18"/>
      <c r="C17" s="2"/>
      <c r="D17" s="21"/>
      <c r="E17" s="21"/>
      <c r="F17" s="19" t="s">
        <v>2</v>
      </c>
      <c r="G17" s="19"/>
      <c r="H17" s="19"/>
      <c r="I17" s="19"/>
      <c r="J17" s="19"/>
      <c r="K17" s="110">
        <f>1493142/1000</f>
        <v>1493.142</v>
      </c>
      <c r="L17" s="110"/>
      <c r="M17" s="22" t="s">
        <v>7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9"/>
    </row>
    <row r="18" spans="1:45" ht="12.75">
      <c r="A18" s="18"/>
      <c r="C18" s="2"/>
      <c r="D18" s="21"/>
      <c r="E18" s="21"/>
      <c r="F18" s="19" t="s">
        <v>9</v>
      </c>
      <c r="G18" s="19"/>
      <c r="H18" s="19"/>
      <c r="I18" s="19"/>
      <c r="J18" s="19"/>
      <c r="K18" s="111">
        <v>632.67</v>
      </c>
      <c r="L18" s="111"/>
      <c r="M18" s="23" t="s">
        <v>8</v>
      </c>
      <c r="N18" s="24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9"/>
    </row>
    <row r="19" spans="1:45" ht="12.75">
      <c r="A19" s="18"/>
      <c r="C19" s="25"/>
      <c r="D19" s="21"/>
      <c r="E19" s="21"/>
      <c r="F19" s="19" t="s">
        <v>6</v>
      </c>
      <c r="G19" s="19"/>
      <c r="H19" s="19"/>
      <c r="I19" s="19"/>
      <c r="J19" s="19"/>
      <c r="K19" s="110">
        <f>129063/1000</f>
        <v>129.063</v>
      </c>
      <c r="L19" s="110"/>
      <c r="M19" s="23" t="s">
        <v>7</v>
      </c>
      <c r="N19" s="24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9"/>
    </row>
    <row r="20" spans="1:45" ht="12.75">
      <c r="A20" s="18"/>
      <c r="C20" s="19"/>
      <c r="D20" s="19"/>
      <c r="E20" s="19"/>
      <c r="F20" s="19" t="s">
        <v>467</v>
      </c>
      <c r="G20" s="19"/>
      <c r="H20" s="19"/>
      <c r="I20" s="19"/>
      <c r="J20" s="19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9"/>
    </row>
    <row r="21" spans="1:45" s="26" customFormat="1" ht="12.75">
      <c r="A21" s="18"/>
      <c r="B21" s="15"/>
      <c r="C21" s="16"/>
      <c r="D21" s="17"/>
      <c r="E21" s="17"/>
      <c r="F21" s="17"/>
      <c r="G21" s="17"/>
      <c r="H21" s="17"/>
      <c r="I21" s="17"/>
      <c r="J21" s="17"/>
      <c r="K21" s="2"/>
      <c r="L21" s="2"/>
      <c r="M21" s="2"/>
      <c r="N21" s="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9"/>
    </row>
    <row r="22" spans="1:45" s="29" customFormat="1" ht="12.75">
      <c r="A22" s="104" t="s">
        <v>3</v>
      </c>
      <c r="B22" s="104" t="s">
        <v>11</v>
      </c>
      <c r="C22" s="104" t="s">
        <v>14</v>
      </c>
      <c r="D22" s="101" t="s">
        <v>12</v>
      </c>
      <c r="E22" s="102"/>
      <c r="F22" s="103"/>
      <c r="G22" s="101" t="s">
        <v>13</v>
      </c>
      <c r="H22" s="102"/>
      <c r="I22" s="103"/>
      <c r="J22" s="119" t="s">
        <v>4</v>
      </c>
      <c r="K22" s="120"/>
      <c r="L22" s="99" t="s">
        <v>19</v>
      </c>
      <c r="M22" s="99"/>
      <c r="N22" s="99"/>
      <c r="O22" s="2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9"/>
    </row>
    <row r="23" spans="1:47" s="31" customFormat="1" ht="12.75">
      <c r="A23" s="105"/>
      <c r="B23" s="105"/>
      <c r="C23" s="105"/>
      <c r="D23" s="97" t="s">
        <v>10</v>
      </c>
      <c r="E23" s="27" t="s">
        <v>18</v>
      </c>
      <c r="F23" s="27" t="s">
        <v>15</v>
      </c>
      <c r="G23" s="97" t="s">
        <v>10</v>
      </c>
      <c r="H23" s="27" t="s">
        <v>18</v>
      </c>
      <c r="I23" s="27" t="s">
        <v>15</v>
      </c>
      <c r="J23" s="27" t="s">
        <v>18</v>
      </c>
      <c r="K23" s="27" t="s">
        <v>15</v>
      </c>
      <c r="L23" s="99" t="s">
        <v>10</v>
      </c>
      <c r="M23" s="27" t="s">
        <v>18</v>
      </c>
      <c r="N23" s="27" t="s">
        <v>15</v>
      </c>
      <c r="O23" s="2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9"/>
      <c r="AT23" s="30"/>
      <c r="AU23" s="30"/>
    </row>
    <row r="24" spans="1:47" ht="12.75">
      <c r="A24" s="106"/>
      <c r="B24" s="106"/>
      <c r="C24" s="106"/>
      <c r="D24" s="98"/>
      <c r="E24" s="32" t="s">
        <v>17</v>
      </c>
      <c r="F24" s="27" t="s">
        <v>16</v>
      </c>
      <c r="G24" s="98"/>
      <c r="H24" s="32" t="s">
        <v>17</v>
      </c>
      <c r="I24" s="27" t="s">
        <v>16</v>
      </c>
      <c r="J24" s="32" t="s">
        <v>17</v>
      </c>
      <c r="K24" s="27" t="s">
        <v>16</v>
      </c>
      <c r="L24" s="100"/>
      <c r="M24" s="32" t="s">
        <v>17</v>
      </c>
      <c r="N24" s="27" t="s">
        <v>16</v>
      </c>
      <c r="O24" s="33" t="s">
        <v>26</v>
      </c>
      <c r="P24" s="8"/>
      <c r="Q24" s="34" t="s">
        <v>21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22</v>
      </c>
      <c r="AF24" s="8" t="s">
        <v>23</v>
      </c>
      <c r="AG24" s="8" t="s">
        <v>24</v>
      </c>
      <c r="AH24" s="8" t="s">
        <v>25</v>
      </c>
      <c r="AI24" s="8" t="s">
        <v>27</v>
      </c>
      <c r="AJ24" s="8" t="s">
        <v>28</v>
      </c>
      <c r="AK24" s="8" t="s">
        <v>29</v>
      </c>
      <c r="AL24" s="8" t="s">
        <v>30</v>
      </c>
      <c r="AM24" s="8" t="s">
        <v>31</v>
      </c>
      <c r="AN24" s="8" t="s">
        <v>32</v>
      </c>
      <c r="AO24" s="35"/>
      <c r="AP24" s="35"/>
      <c r="AQ24" s="35"/>
      <c r="AR24" s="35"/>
      <c r="AS24" s="36"/>
      <c r="AT24" s="36"/>
      <c r="AU24" s="36"/>
    </row>
    <row r="25" spans="1:47" ht="12.75">
      <c r="A25" s="37">
        <v>1</v>
      </c>
      <c r="B25" s="37">
        <v>2</v>
      </c>
      <c r="C25" s="37">
        <v>3</v>
      </c>
      <c r="D25" s="37">
        <v>4</v>
      </c>
      <c r="E25" s="37">
        <v>5</v>
      </c>
      <c r="F25" s="37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38">
        <v>13</v>
      </c>
      <c r="N25" s="38">
        <v>14</v>
      </c>
      <c r="O25" s="39"/>
      <c r="P25" s="37"/>
      <c r="Q25" s="39"/>
      <c r="R25" s="39"/>
      <c r="S25" s="39"/>
      <c r="T25" s="37"/>
      <c r="U25" s="37"/>
      <c r="V25" s="39"/>
      <c r="W25" s="39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40"/>
      <c r="AJ25" s="40"/>
      <c r="AK25" s="40"/>
      <c r="AL25" s="40"/>
      <c r="AM25" s="37"/>
      <c r="AN25" s="40"/>
      <c r="AO25" s="41"/>
      <c r="AP25" s="41"/>
      <c r="AQ25" s="41"/>
      <c r="AR25" s="41"/>
      <c r="AS25" s="42"/>
      <c r="AT25" s="42"/>
      <c r="AU25" s="42"/>
    </row>
    <row r="26" spans="1:45" ht="21" customHeight="1">
      <c r="A26" s="96" t="s">
        <v>33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"/>
    </row>
    <row r="27" spans="1:45" ht="89.25">
      <c r="A27" s="56">
        <v>1</v>
      </c>
      <c r="B27" s="57" t="s">
        <v>34</v>
      </c>
      <c r="C27" s="58">
        <v>2.17</v>
      </c>
      <c r="D27" s="59">
        <v>1478.92</v>
      </c>
      <c r="E27" s="59">
        <v>589.77</v>
      </c>
      <c r="F27" s="59" t="s">
        <v>35</v>
      </c>
      <c r="G27" s="59">
        <v>3209</v>
      </c>
      <c r="H27" s="59">
        <v>1280</v>
      </c>
      <c r="I27" s="59" t="s">
        <v>36</v>
      </c>
      <c r="J27" s="59">
        <v>21.13</v>
      </c>
      <c r="K27" s="60" t="s">
        <v>37</v>
      </c>
      <c r="L27" s="59">
        <v>36274</v>
      </c>
      <c r="M27" s="59">
        <v>27042</v>
      </c>
      <c r="N27" s="59" t="s">
        <v>38</v>
      </c>
      <c r="O27" s="61">
        <f>1280+205</f>
        <v>1485</v>
      </c>
      <c r="P27" s="62" t="s">
        <v>39</v>
      </c>
      <c r="Q27" s="61">
        <f>27042+4147</f>
        <v>31189</v>
      </c>
      <c r="R27" s="61">
        <v>3209</v>
      </c>
      <c r="S27" s="61">
        <v>36274</v>
      </c>
      <c r="T27" s="62" t="s">
        <v>40</v>
      </c>
      <c r="U27" s="62" t="s">
        <v>41</v>
      </c>
      <c r="V27" s="61">
        <v>27446</v>
      </c>
      <c r="W27" s="61">
        <v>14971</v>
      </c>
      <c r="X27" s="62">
        <v>78691</v>
      </c>
      <c r="Y27" s="62">
        <v>1544</v>
      </c>
      <c r="Z27" s="62">
        <v>891</v>
      </c>
      <c r="AA27" s="62">
        <v>88</v>
      </c>
      <c r="AB27" s="62">
        <v>48</v>
      </c>
      <c r="AC27" s="62" t="s">
        <v>42</v>
      </c>
      <c r="AD27" s="62" t="s">
        <v>42</v>
      </c>
      <c r="AE27" s="63">
        <v>27042</v>
      </c>
      <c r="AF27" s="63">
        <v>9232</v>
      </c>
      <c r="AG27" s="63">
        <v>4147</v>
      </c>
      <c r="AH27" s="63"/>
      <c r="AI27" s="61">
        <v>1280</v>
      </c>
      <c r="AJ27" s="61">
        <v>1929</v>
      </c>
      <c r="AK27" s="61">
        <v>205</v>
      </c>
      <c r="AL27" s="61"/>
      <c r="AM27" s="61">
        <v>36274</v>
      </c>
      <c r="AN27" s="61">
        <v>3209</v>
      </c>
      <c r="AO27" s="64">
        <v>21.13</v>
      </c>
      <c r="AP27" s="64">
        <v>4.785</v>
      </c>
      <c r="AQ27" s="64">
        <v>20.211</v>
      </c>
      <c r="AR27" s="64" t="s">
        <v>20</v>
      </c>
      <c r="AS27" s="9"/>
    </row>
    <row r="28" spans="1:45" ht="114.75">
      <c r="A28" s="56">
        <v>2</v>
      </c>
      <c r="B28" s="57" t="s">
        <v>43</v>
      </c>
      <c r="C28" s="58">
        <v>0.0956</v>
      </c>
      <c r="D28" s="59">
        <v>3810.94</v>
      </c>
      <c r="E28" s="59">
        <v>56.16</v>
      </c>
      <c r="F28" s="59" t="s">
        <v>44</v>
      </c>
      <c r="G28" s="59">
        <v>364</v>
      </c>
      <c r="H28" s="59">
        <v>5</v>
      </c>
      <c r="I28" s="59" t="s">
        <v>45</v>
      </c>
      <c r="J28" s="59">
        <v>21.13</v>
      </c>
      <c r="K28" s="60" t="s">
        <v>46</v>
      </c>
      <c r="L28" s="59">
        <v>1855</v>
      </c>
      <c r="M28" s="59">
        <v>113</v>
      </c>
      <c r="N28" s="59" t="s">
        <v>47</v>
      </c>
      <c r="O28" s="61">
        <f>5+24</f>
        <v>29</v>
      </c>
      <c r="P28" s="62" t="s">
        <v>39</v>
      </c>
      <c r="Q28" s="61">
        <f>113+485</f>
        <v>598</v>
      </c>
      <c r="R28" s="61">
        <v>364</v>
      </c>
      <c r="S28" s="61">
        <v>1855</v>
      </c>
      <c r="T28" s="62" t="s">
        <v>40</v>
      </c>
      <c r="U28" s="62" t="s">
        <v>41</v>
      </c>
      <c r="V28" s="61">
        <v>526</v>
      </c>
      <c r="W28" s="61">
        <v>287</v>
      </c>
      <c r="X28" s="62">
        <v>2668</v>
      </c>
      <c r="Y28" s="62">
        <v>30</v>
      </c>
      <c r="Z28" s="62">
        <v>17</v>
      </c>
      <c r="AA28" s="62">
        <v>88</v>
      </c>
      <c r="AB28" s="62">
        <v>48</v>
      </c>
      <c r="AC28" s="62" t="s">
        <v>42</v>
      </c>
      <c r="AD28" s="62" t="s">
        <v>42</v>
      </c>
      <c r="AE28" s="63">
        <v>113</v>
      </c>
      <c r="AF28" s="63">
        <v>1742</v>
      </c>
      <c r="AG28" s="63">
        <v>485</v>
      </c>
      <c r="AH28" s="63"/>
      <c r="AI28" s="61">
        <v>5</v>
      </c>
      <c r="AJ28" s="61">
        <v>359</v>
      </c>
      <c r="AK28" s="61">
        <v>24</v>
      </c>
      <c r="AL28" s="61"/>
      <c r="AM28" s="61">
        <v>1855</v>
      </c>
      <c r="AN28" s="61">
        <v>364</v>
      </c>
      <c r="AO28" s="64">
        <v>21.13</v>
      </c>
      <c r="AP28" s="64">
        <v>4.854</v>
      </c>
      <c r="AQ28" s="64">
        <v>20.234</v>
      </c>
      <c r="AR28" s="64" t="s">
        <v>20</v>
      </c>
      <c r="AS28" s="9"/>
    </row>
    <row r="29" spans="1:45" ht="204">
      <c r="A29" s="56">
        <v>3</v>
      </c>
      <c r="B29" s="57" t="s">
        <v>48</v>
      </c>
      <c r="C29" s="58">
        <v>0.16</v>
      </c>
      <c r="D29" s="59">
        <v>1107.1</v>
      </c>
      <c r="E29" s="59">
        <v>889.37</v>
      </c>
      <c r="F29" s="59" t="s">
        <v>49</v>
      </c>
      <c r="G29" s="59">
        <v>177</v>
      </c>
      <c r="H29" s="59">
        <v>142</v>
      </c>
      <c r="I29" s="59" t="s">
        <v>50</v>
      </c>
      <c r="J29" s="59" t="s">
        <v>51</v>
      </c>
      <c r="K29" s="60" t="s">
        <v>52</v>
      </c>
      <c r="L29" s="59">
        <v>3256</v>
      </c>
      <c r="M29" s="59">
        <v>3007</v>
      </c>
      <c r="N29" s="59" t="s">
        <v>53</v>
      </c>
      <c r="O29" s="61">
        <f>142+5</f>
        <v>147</v>
      </c>
      <c r="P29" s="62" t="s">
        <v>39</v>
      </c>
      <c r="Q29" s="61">
        <f>3007+110</f>
        <v>3117</v>
      </c>
      <c r="R29" s="61">
        <v>177</v>
      </c>
      <c r="S29" s="61">
        <v>3256</v>
      </c>
      <c r="T29" s="62" t="s">
        <v>54</v>
      </c>
      <c r="U29" s="62" t="s">
        <v>55</v>
      </c>
      <c r="V29" s="61">
        <v>4114</v>
      </c>
      <c r="W29" s="61">
        <v>2120</v>
      </c>
      <c r="X29" s="62">
        <v>9490</v>
      </c>
      <c r="Y29" s="62">
        <v>228</v>
      </c>
      <c r="Z29" s="62">
        <v>125</v>
      </c>
      <c r="AA29" s="62">
        <v>119</v>
      </c>
      <c r="AB29" s="62">
        <v>68</v>
      </c>
      <c r="AC29" s="62" t="s">
        <v>42</v>
      </c>
      <c r="AD29" s="62" t="s">
        <v>42</v>
      </c>
      <c r="AE29" s="63">
        <v>3007</v>
      </c>
      <c r="AF29" s="63">
        <v>249</v>
      </c>
      <c r="AG29" s="63">
        <v>110</v>
      </c>
      <c r="AH29" s="63"/>
      <c r="AI29" s="61">
        <v>142</v>
      </c>
      <c r="AJ29" s="61">
        <v>35</v>
      </c>
      <c r="AK29" s="61">
        <v>5</v>
      </c>
      <c r="AL29" s="61"/>
      <c r="AM29" s="61">
        <v>3256</v>
      </c>
      <c r="AN29" s="61">
        <v>177</v>
      </c>
      <c r="AO29" s="64">
        <v>21.13</v>
      </c>
      <c r="AP29" s="64">
        <v>7.134</v>
      </c>
      <c r="AQ29" s="64">
        <v>20.223</v>
      </c>
      <c r="AR29" s="64">
        <v>5.191</v>
      </c>
      <c r="AS29" s="9"/>
    </row>
    <row r="30" spans="1:45" ht="102">
      <c r="A30" s="56">
        <v>4</v>
      </c>
      <c r="B30" s="57" t="s">
        <v>56</v>
      </c>
      <c r="C30" s="58">
        <v>24.15</v>
      </c>
      <c r="D30" s="59">
        <v>3.28</v>
      </c>
      <c r="E30" s="59"/>
      <c r="F30" s="59">
        <v>3.28</v>
      </c>
      <c r="G30" s="59">
        <v>79</v>
      </c>
      <c r="H30" s="59"/>
      <c r="I30" s="59">
        <v>79</v>
      </c>
      <c r="J30" s="59"/>
      <c r="K30" s="60">
        <v>10.168</v>
      </c>
      <c r="L30" s="59">
        <v>805</v>
      </c>
      <c r="M30" s="59"/>
      <c r="N30" s="59">
        <v>805</v>
      </c>
      <c r="O30" s="61">
        <f>0+0</f>
        <v>0</v>
      </c>
      <c r="P30" s="62" t="s">
        <v>39</v>
      </c>
      <c r="Q30" s="61">
        <f>0+0</f>
        <v>0</v>
      </c>
      <c r="R30" s="61">
        <v>79</v>
      </c>
      <c r="S30" s="61">
        <v>805</v>
      </c>
      <c r="T30" s="62" t="s">
        <v>57</v>
      </c>
      <c r="U30" s="62" t="s">
        <v>58</v>
      </c>
      <c r="V30" s="61"/>
      <c r="W30" s="61"/>
      <c r="X30" s="62">
        <v>805</v>
      </c>
      <c r="Y30" s="62"/>
      <c r="Z30" s="62"/>
      <c r="AA30" s="62">
        <v>0</v>
      </c>
      <c r="AB30" s="62">
        <v>0</v>
      </c>
      <c r="AC30" s="62" t="s">
        <v>42</v>
      </c>
      <c r="AD30" s="62" t="s">
        <v>42</v>
      </c>
      <c r="AE30" s="63"/>
      <c r="AF30" s="63">
        <v>805</v>
      </c>
      <c r="AG30" s="63"/>
      <c r="AH30" s="63"/>
      <c r="AI30" s="61"/>
      <c r="AJ30" s="61">
        <v>79</v>
      </c>
      <c r="AK30" s="61"/>
      <c r="AL30" s="61"/>
      <c r="AM30" s="61">
        <v>805</v>
      </c>
      <c r="AN30" s="61">
        <v>79</v>
      </c>
      <c r="AO30" s="64" t="s">
        <v>20</v>
      </c>
      <c r="AP30" s="64">
        <v>10.168</v>
      </c>
      <c r="AQ30" s="64" t="s">
        <v>20</v>
      </c>
      <c r="AR30" s="64" t="s">
        <v>20</v>
      </c>
      <c r="AS30" s="9"/>
    </row>
    <row r="31" spans="1:45" ht="114.75">
      <c r="A31" s="56">
        <v>5</v>
      </c>
      <c r="B31" s="57" t="s">
        <v>59</v>
      </c>
      <c r="C31" s="58">
        <v>33.61</v>
      </c>
      <c r="D31" s="59">
        <v>11.81</v>
      </c>
      <c r="E31" s="59"/>
      <c r="F31" s="59">
        <v>11.81</v>
      </c>
      <c r="G31" s="59">
        <v>397</v>
      </c>
      <c r="H31" s="59"/>
      <c r="I31" s="59">
        <v>397</v>
      </c>
      <c r="J31" s="59"/>
      <c r="K31" s="60">
        <v>9.944</v>
      </c>
      <c r="L31" s="59">
        <v>3947</v>
      </c>
      <c r="M31" s="59"/>
      <c r="N31" s="59">
        <v>3947</v>
      </c>
      <c r="O31" s="61">
        <f>0+0</f>
        <v>0</v>
      </c>
      <c r="P31" s="62" t="s">
        <v>39</v>
      </c>
      <c r="Q31" s="61">
        <f>0+0</f>
        <v>0</v>
      </c>
      <c r="R31" s="61">
        <v>397</v>
      </c>
      <c r="S31" s="61">
        <v>3947</v>
      </c>
      <c r="T31" s="62" t="s">
        <v>57</v>
      </c>
      <c r="U31" s="62" t="s">
        <v>58</v>
      </c>
      <c r="V31" s="61"/>
      <c r="W31" s="61"/>
      <c r="X31" s="62">
        <v>3947</v>
      </c>
      <c r="Y31" s="62"/>
      <c r="Z31" s="62"/>
      <c r="AA31" s="62">
        <v>0</v>
      </c>
      <c r="AB31" s="62">
        <v>0</v>
      </c>
      <c r="AC31" s="62" t="s">
        <v>42</v>
      </c>
      <c r="AD31" s="62" t="s">
        <v>42</v>
      </c>
      <c r="AE31" s="63"/>
      <c r="AF31" s="63">
        <v>3947</v>
      </c>
      <c r="AG31" s="63"/>
      <c r="AH31" s="63"/>
      <c r="AI31" s="61"/>
      <c r="AJ31" s="61">
        <v>397</v>
      </c>
      <c r="AK31" s="61"/>
      <c r="AL31" s="61"/>
      <c r="AM31" s="61">
        <v>3947</v>
      </c>
      <c r="AN31" s="61">
        <v>397</v>
      </c>
      <c r="AO31" s="64" t="s">
        <v>20</v>
      </c>
      <c r="AP31" s="64">
        <v>9.944</v>
      </c>
      <c r="AQ31" s="64" t="s">
        <v>20</v>
      </c>
      <c r="AR31" s="64" t="s">
        <v>20</v>
      </c>
      <c r="AS31" s="9"/>
    </row>
    <row r="32" spans="1:45" ht="12.75">
      <c r="A32" s="87" t="s">
        <v>67</v>
      </c>
      <c r="B32" s="88"/>
      <c r="C32" s="88"/>
      <c r="D32" s="88"/>
      <c r="E32" s="88"/>
      <c r="F32" s="88"/>
      <c r="G32" s="84">
        <v>7062</v>
      </c>
      <c r="H32" s="59"/>
      <c r="I32" s="59"/>
      <c r="J32" s="59"/>
      <c r="K32" s="60"/>
      <c r="L32" s="84">
        <v>95602</v>
      </c>
      <c r="M32" s="59"/>
      <c r="N32" s="59"/>
      <c r="O32" s="65" t="s">
        <v>60</v>
      </c>
      <c r="P32" s="66" t="s">
        <v>60</v>
      </c>
      <c r="Q32" s="65" t="s">
        <v>60</v>
      </c>
      <c r="R32" s="65" t="s">
        <v>60</v>
      </c>
      <c r="S32" s="65" t="s">
        <v>60</v>
      </c>
      <c r="T32" s="66" t="s">
        <v>60</v>
      </c>
      <c r="U32" s="66" t="s">
        <v>60</v>
      </c>
      <c r="V32" s="65" t="s">
        <v>60</v>
      </c>
      <c r="W32" s="65" t="s">
        <v>60</v>
      </c>
      <c r="X32" s="66" t="s">
        <v>60</v>
      </c>
      <c r="Y32" s="66" t="s">
        <v>60</v>
      </c>
      <c r="Z32" s="66" t="s">
        <v>60</v>
      </c>
      <c r="AA32" s="66" t="s">
        <v>60</v>
      </c>
      <c r="AB32" s="66" t="s">
        <v>60</v>
      </c>
      <c r="AC32" s="66" t="s">
        <v>60</v>
      </c>
      <c r="AD32" s="66" t="s">
        <v>60</v>
      </c>
      <c r="AE32" s="67" t="s">
        <v>60</v>
      </c>
      <c r="AF32" s="67" t="s">
        <v>60</v>
      </c>
      <c r="AG32" s="67" t="s">
        <v>60</v>
      </c>
      <c r="AH32" s="67" t="s">
        <v>60</v>
      </c>
      <c r="AI32" s="65" t="s">
        <v>60</v>
      </c>
      <c r="AJ32" s="65" t="s">
        <v>60</v>
      </c>
      <c r="AK32" s="65" t="s">
        <v>60</v>
      </c>
      <c r="AL32" s="65" t="s">
        <v>60</v>
      </c>
      <c r="AM32" s="65"/>
      <c r="AN32" s="65"/>
      <c r="AO32" s="68" t="s">
        <v>60</v>
      </c>
      <c r="AP32" s="68" t="s">
        <v>60</v>
      </c>
      <c r="AQ32" s="68" t="s">
        <v>60</v>
      </c>
      <c r="AR32" s="68" t="s">
        <v>60</v>
      </c>
      <c r="AS32" s="9"/>
    </row>
    <row r="33" spans="1:45" ht="42" customHeight="1">
      <c r="A33" s="87" t="s">
        <v>464</v>
      </c>
      <c r="B33" s="88"/>
      <c r="C33" s="88"/>
      <c r="D33" s="88"/>
      <c r="E33" s="88"/>
      <c r="F33" s="88"/>
      <c r="G33" s="84"/>
      <c r="H33" s="59"/>
      <c r="I33" s="59"/>
      <c r="J33" s="59"/>
      <c r="K33" s="60"/>
      <c r="L33" s="84">
        <v>130095</v>
      </c>
      <c r="M33" s="59"/>
      <c r="N33" s="59"/>
      <c r="O33" s="65" t="s">
        <v>60</v>
      </c>
      <c r="P33" s="66" t="s">
        <v>60</v>
      </c>
      <c r="Q33" s="65" t="s">
        <v>60</v>
      </c>
      <c r="R33" s="65" t="s">
        <v>60</v>
      </c>
      <c r="S33" s="65" t="s">
        <v>60</v>
      </c>
      <c r="T33" s="66" t="s">
        <v>60</v>
      </c>
      <c r="U33" s="66" t="s">
        <v>60</v>
      </c>
      <c r="V33" s="65" t="s">
        <v>60</v>
      </c>
      <c r="W33" s="65" t="s">
        <v>60</v>
      </c>
      <c r="X33" s="66" t="s">
        <v>60</v>
      </c>
      <c r="Y33" s="66" t="s">
        <v>60</v>
      </c>
      <c r="Z33" s="66" t="s">
        <v>60</v>
      </c>
      <c r="AA33" s="66" t="s">
        <v>60</v>
      </c>
      <c r="AB33" s="66" t="s">
        <v>60</v>
      </c>
      <c r="AC33" s="66" t="s">
        <v>60</v>
      </c>
      <c r="AD33" s="66" t="s">
        <v>60</v>
      </c>
      <c r="AE33" s="67" t="s">
        <v>60</v>
      </c>
      <c r="AF33" s="67" t="s">
        <v>60</v>
      </c>
      <c r="AG33" s="67" t="s">
        <v>60</v>
      </c>
      <c r="AH33" s="67" t="s">
        <v>60</v>
      </c>
      <c r="AI33" s="65" t="s">
        <v>60</v>
      </c>
      <c r="AJ33" s="65" t="s">
        <v>60</v>
      </c>
      <c r="AK33" s="65" t="s">
        <v>60</v>
      </c>
      <c r="AL33" s="65" t="s">
        <v>60</v>
      </c>
      <c r="AM33" s="65"/>
      <c r="AN33" s="65"/>
      <c r="AO33" s="68" t="s">
        <v>60</v>
      </c>
      <c r="AP33" s="68" t="s">
        <v>60</v>
      </c>
      <c r="AQ33" s="68" t="s">
        <v>60</v>
      </c>
      <c r="AR33" s="68" t="s">
        <v>60</v>
      </c>
      <c r="AS33" s="9"/>
    </row>
    <row r="34" spans="1:45" ht="27.75" customHeight="1">
      <c r="A34" s="89" t="s">
        <v>68</v>
      </c>
      <c r="B34" s="90"/>
      <c r="C34" s="90"/>
      <c r="D34" s="90"/>
      <c r="E34" s="90"/>
      <c r="F34" s="90"/>
      <c r="G34" s="85">
        <v>7062</v>
      </c>
      <c r="H34" s="69"/>
      <c r="I34" s="69"/>
      <c r="J34" s="69"/>
      <c r="K34" s="70"/>
      <c r="L34" s="85">
        <v>130095</v>
      </c>
      <c r="M34" s="69"/>
      <c r="N34" s="69"/>
      <c r="O34" s="71" t="s">
        <v>60</v>
      </c>
      <c r="P34" s="72" t="s">
        <v>60</v>
      </c>
      <c r="Q34" s="71" t="s">
        <v>60</v>
      </c>
      <c r="R34" s="71" t="s">
        <v>60</v>
      </c>
      <c r="S34" s="71" t="s">
        <v>60</v>
      </c>
      <c r="T34" s="72" t="s">
        <v>60</v>
      </c>
      <c r="U34" s="72" t="s">
        <v>60</v>
      </c>
      <c r="V34" s="71" t="s">
        <v>60</v>
      </c>
      <c r="W34" s="71" t="s">
        <v>60</v>
      </c>
      <c r="X34" s="72" t="s">
        <v>60</v>
      </c>
      <c r="Y34" s="72" t="s">
        <v>60</v>
      </c>
      <c r="Z34" s="72" t="s">
        <v>60</v>
      </c>
      <c r="AA34" s="72" t="s">
        <v>60</v>
      </c>
      <c r="AB34" s="72" t="s">
        <v>60</v>
      </c>
      <c r="AC34" s="72" t="s">
        <v>60</v>
      </c>
      <c r="AD34" s="72" t="s">
        <v>60</v>
      </c>
      <c r="AE34" s="73" t="s">
        <v>60</v>
      </c>
      <c r="AF34" s="73" t="s">
        <v>60</v>
      </c>
      <c r="AG34" s="73" t="s">
        <v>60</v>
      </c>
      <c r="AH34" s="73" t="s">
        <v>60</v>
      </c>
      <c r="AI34" s="71" t="s">
        <v>60</v>
      </c>
      <c r="AJ34" s="71" t="s">
        <v>60</v>
      </c>
      <c r="AK34" s="71" t="s">
        <v>60</v>
      </c>
      <c r="AL34" s="71" t="s">
        <v>60</v>
      </c>
      <c r="AM34" s="71"/>
      <c r="AN34" s="71"/>
      <c r="AO34" s="74" t="s">
        <v>60</v>
      </c>
      <c r="AP34" s="74" t="s">
        <v>60</v>
      </c>
      <c r="AQ34" s="74" t="s">
        <v>60</v>
      </c>
      <c r="AR34" s="74" t="s">
        <v>60</v>
      </c>
      <c r="AS34" s="9"/>
    </row>
    <row r="35" spans="1:45" ht="21" customHeight="1">
      <c r="A35" s="92" t="s">
        <v>69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"/>
    </row>
    <row r="36" spans="1:45" ht="204">
      <c r="A36" s="56">
        <v>6</v>
      </c>
      <c r="B36" s="57" t="s">
        <v>70</v>
      </c>
      <c r="C36" s="58">
        <v>0.1</v>
      </c>
      <c r="D36" s="59">
        <v>620.15</v>
      </c>
      <c r="E36" s="59">
        <v>311.98</v>
      </c>
      <c r="F36" s="59" t="s">
        <v>71</v>
      </c>
      <c r="G36" s="59">
        <v>62</v>
      </c>
      <c r="H36" s="59">
        <v>31</v>
      </c>
      <c r="I36" s="59" t="s">
        <v>72</v>
      </c>
      <c r="J36" s="59" t="s">
        <v>73</v>
      </c>
      <c r="K36" s="60" t="s">
        <v>74</v>
      </c>
      <c r="L36" s="59">
        <v>881</v>
      </c>
      <c r="M36" s="59">
        <v>659</v>
      </c>
      <c r="N36" s="59" t="s">
        <v>75</v>
      </c>
      <c r="O36" s="61">
        <f>31+4</f>
        <v>35</v>
      </c>
      <c r="P36" s="62" t="s">
        <v>39</v>
      </c>
      <c r="Q36" s="61">
        <f>659+77</f>
        <v>736</v>
      </c>
      <c r="R36" s="61">
        <v>62</v>
      </c>
      <c r="S36" s="61">
        <v>881</v>
      </c>
      <c r="T36" s="62" t="s">
        <v>76</v>
      </c>
      <c r="U36" s="62" t="s">
        <v>77</v>
      </c>
      <c r="V36" s="61">
        <v>655</v>
      </c>
      <c r="W36" s="61">
        <v>324</v>
      </c>
      <c r="X36" s="62">
        <v>1860</v>
      </c>
      <c r="Y36" s="62">
        <v>37</v>
      </c>
      <c r="Z36" s="62">
        <v>19</v>
      </c>
      <c r="AA36" s="62">
        <v>80</v>
      </c>
      <c r="AB36" s="62">
        <v>44</v>
      </c>
      <c r="AC36" s="62" t="s">
        <v>42</v>
      </c>
      <c r="AD36" s="62" t="s">
        <v>42</v>
      </c>
      <c r="AE36" s="63">
        <v>659</v>
      </c>
      <c r="AF36" s="63">
        <v>222</v>
      </c>
      <c r="AG36" s="63">
        <v>77</v>
      </c>
      <c r="AH36" s="63"/>
      <c r="AI36" s="61">
        <v>31</v>
      </c>
      <c r="AJ36" s="61">
        <v>31</v>
      </c>
      <c r="AK36" s="61">
        <v>4</v>
      </c>
      <c r="AL36" s="61"/>
      <c r="AM36" s="61">
        <v>881</v>
      </c>
      <c r="AN36" s="61">
        <v>62</v>
      </c>
      <c r="AO36" s="64">
        <v>21.13</v>
      </c>
      <c r="AP36" s="64">
        <v>7.198</v>
      </c>
      <c r="AQ36" s="64">
        <v>20.207</v>
      </c>
      <c r="AR36" s="64">
        <v>5.62</v>
      </c>
      <c r="AS36" s="9"/>
    </row>
    <row r="37" spans="1:45" ht="51">
      <c r="A37" s="75">
        <v>7</v>
      </c>
      <c r="B37" s="76" t="s">
        <v>78</v>
      </c>
      <c r="C37" s="77">
        <v>0.7</v>
      </c>
      <c r="D37" s="78">
        <v>1091.82</v>
      </c>
      <c r="E37" s="78" t="s">
        <v>79</v>
      </c>
      <c r="F37" s="78"/>
      <c r="G37" s="78">
        <v>764</v>
      </c>
      <c r="H37" s="78" t="s">
        <v>80</v>
      </c>
      <c r="I37" s="78"/>
      <c r="J37" s="78" t="s">
        <v>81</v>
      </c>
      <c r="K37" s="79"/>
      <c r="L37" s="78">
        <v>5701</v>
      </c>
      <c r="M37" s="78" t="s">
        <v>82</v>
      </c>
      <c r="N37" s="78"/>
      <c r="O37" s="80">
        <f>0+0</f>
        <v>0</v>
      </c>
      <c r="P37" s="81" t="s">
        <v>83</v>
      </c>
      <c r="Q37" s="80">
        <f>0+0</f>
        <v>0</v>
      </c>
      <c r="R37" s="80">
        <v>764</v>
      </c>
      <c r="S37" s="80">
        <v>5701</v>
      </c>
      <c r="T37" s="81"/>
      <c r="U37" s="81"/>
      <c r="V37" s="80"/>
      <c r="W37" s="80"/>
      <c r="X37" s="81">
        <v>5701</v>
      </c>
      <c r="Y37" s="81"/>
      <c r="Z37" s="81"/>
      <c r="AA37" s="81">
        <v>0</v>
      </c>
      <c r="AB37" s="81">
        <v>0</v>
      </c>
      <c r="AC37" s="81" t="s">
        <v>42</v>
      </c>
      <c r="AD37" s="81" t="s">
        <v>42</v>
      </c>
      <c r="AE37" s="82"/>
      <c r="AF37" s="82"/>
      <c r="AG37" s="82"/>
      <c r="AH37" s="82">
        <v>5701</v>
      </c>
      <c r="AI37" s="80"/>
      <c r="AJ37" s="80"/>
      <c r="AK37" s="80"/>
      <c r="AL37" s="80">
        <v>764</v>
      </c>
      <c r="AM37" s="80">
        <v>5701</v>
      </c>
      <c r="AN37" s="80">
        <v>764</v>
      </c>
      <c r="AO37" s="83" t="s">
        <v>20</v>
      </c>
      <c r="AP37" s="83" t="s">
        <v>20</v>
      </c>
      <c r="AQ37" s="83" t="s">
        <v>20</v>
      </c>
      <c r="AR37" s="83">
        <v>7.46</v>
      </c>
      <c r="AS37" s="9"/>
    </row>
    <row r="38" spans="1:45" ht="102">
      <c r="A38" s="56">
        <v>8</v>
      </c>
      <c r="B38" s="57" t="s">
        <v>84</v>
      </c>
      <c r="C38" s="58">
        <v>3.24</v>
      </c>
      <c r="D38" s="59">
        <v>37.63</v>
      </c>
      <c r="E38" s="59">
        <v>37.63</v>
      </c>
      <c r="F38" s="59"/>
      <c r="G38" s="59">
        <v>122</v>
      </c>
      <c r="H38" s="59">
        <v>122</v>
      </c>
      <c r="I38" s="59"/>
      <c r="J38" s="59">
        <v>21.13</v>
      </c>
      <c r="K38" s="60"/>
      <c r="L38" s="59">
        <v>2576</v>
      </c>
      <c r="M38" s="59">
        <v>2576</v>
      </c>
      <c r="N38" s="59"/>
      <c r="O38" s="61">
        <f>122+0</f>
        <v>122</v>
      </c>
      <c r="P38" s="62" t="s">
        <v>39</v>
      </c>
      <c r="Q38" s="61">
        <f>2576+0</f>
        <v>2576</v>
      </c>
      <c r="R38" s="61">
        <v>122</v>
      </c>
      <c r="S38" s="61">
        <v>2576</v>
      </c>
      <c r="T38" s="62" t="s">
        <v>40</v>
      </c>
      <c r="U38" s="62" t="s">
        <v>41</v>
      </c>
      <c r="V38" s="61">
        <v>2267</v>
      </c>
      <c r="W38" s="61">
        <v>1236</v>
      </c>
      <c r="X38" s="62">
        <v>6079</v>
      </c>
      <c r="Y38" s="62">
        <v>127</v>
      </c>
      <c r="Z38" s="62">
        <v>73</v>
      </c>
      <c r="AA38" s="62">
        <v>88</v>
      </c>
      <c r="AB38" s="62">
        <v>48</v>
      </c>
      <c r="AC38" s="62" t="s">
        <v>42</v>
      </c>
      <c r="AD38" s="62" t="s">
        <v>42</v>
      </c>
      <c r="AE38" s="63">
        <v>2576</v>
      </c>
      <c r="AF38" s="63"/>
      <c r="AG38" s="63"/>
      <c r="AH38" s="63"/>
      <c r="AI38" s="61">
        <v>122</v>
      </c>
      <c r="AJ38" s="61"/>
      <c r="AK38" s="61"/>
      <c r="AL38" s="61"/>
      <c r="AM38" s="61">
        <v>2576</v>
      </c>
      <c r="AN38" s="61">
        <v>122</v>
      </c>
      <c r="AO38" s="64">
        <v>21.13</v>
      </c>
      <c r="AP38" s="64" t="s">
        <v>20</v>
      </c>
      <c r="AQ38" s="64" t="s">
        <v>20</v>
      </c>
      <c r="AR38" s="64" t="s">
        <v>20</v>
      </c>
      <c r="AS38" s="9"/>
    </row>
    <row r="39" spans="1:45" ht="102">
      <c r="A39" s="56">
        <v>9</v>
      </c>
      <c r="B39" s="57" t="s">
        <v>85</v>
      </c>
      <c r="C39" s="58">
        <v>2</v>
      </c>
      <c r="D39" s="59">
        <v>30.61</v>
      </c>
      <c r="E39" s="59">
        <v>28.64</v>
      </c>
      <c r="F39" s="59" t="s">
        <v>86</v>
      </c>
      <c r="G39" s="59">
        <v>61</v>
      </c>
      <c r="H39" s="59">
        <v>57</v>
      </c>
      <c r="I39" s="59" t="s">
        <v>87</v>
      </c>
      <c r="J39" s="59">
        <v>21.13</v>
      </c>
      <c r="K39" s="60" t="s">
        <v>88</v>
      </c>
      <c r="L39" s="59">
        <v>1241</v>
      </c>
      <c r="M39" s="59">
        <v>1210</v>
      </c>
      <c r="N39" s="59" t="s">
        <v>89</v>
      </c>
      <c r="O39" s="61">
        <f>57+1</f>
        <v>58</v>
      </c>
      <c r="P39" s="62" t="s">
        <v>39</v>
      </c>
      <c r="Q39" s="61">
        <f>1210+14</f>
        <v>1224</v>
      </c>
      <c r="R39" s="61">
        <v>61</v>
      </c>
      <c r="S39" s="61">
        <v>1241</v>
      </c>
      <c r="T39" s="62" t="s">
        <v>40</v>
      </c>
      <c r="U39" s="62" t="s">
        <v>41</v>
      </c>
      <c r="V39" s="61">
        <v>1077</v>
      </c>
      <c r="W39" s="61">
        <v>588</v>
      </c>
      <c r="X39" s="62">
        <v>2906</v>
      </c>
      <c r="Y39" s="62">
        <v>60</v>
      </c>
      <c r="Z39" s="62">
        <v>35</v>
      </c>
      <c r="AA39" s="62">
        <v>88</v>
      </c>
      <c r="AB39" s="62">
        <v>48</v>
      </c>
      <c r="AC39" s="62" t="s">
        <v>42</v>
      </c>
      <c r="AD39" s="62" t="s">
        <v>42</v>
      </c>
      <c r="AE39" s="63">
        <v>1210</v>
      </c>
      <c r="AF39" s="63">
        <v>31</v>
      </c>
      <c r="AG39" s="63">
        <v>14</v>
      </c>
      <c r="AH39" s="63"/>
      <c r="AI39" s="61">
        <v>57</v>
      </c>
      <c r="AJ39" s="61">
        <v>4</v>
      </c>
      <c r="AK39" s="61">
        <v>1</v>
      </c>
      <c r="AL39" s="61"/>
      <c r="AM39" s="61">
        <v>1241</v>
      </c>
      <c r="AN39" s="61">
        <v>61</v>
      </c>
      <c r="AO39" s="64">
        <v>21.13</v>
      </c>
      <c r="AP39" s="64">
        <v>7.807</v>
      </c>
      <c r="AQ39" s="64">
        <v>20.086</v>
      </c>
      <c r="AR39" s="64" t="s">
        <v>20</v>
      </c>
      <c r="AS39" s="9"/>
    </row>
    <row r="40" spans="1:45" ht="102">
      <c r="A40" s="56">
        <v>10</v>
      </c>
      <c r="B40" s="57" t="s">
        <v>90</v>
      </c>
      <c r="C40" s="58">
        <v>3.36</v>
      </c>
      <c r="D40" s="59">
        <v>61.84</v>
      </c>
      <c r="E40" s="59">
        <v>61.84</v>
      </c>
      <c r="F40" s="59"/>
      <c r="G40" s="59">
        <v>208</v>
      </c>
      <c r="H40" s="59">
        <v>208</v>
      </c>
      <c r="I40" s="59"/>
      <c r="J40" s="59">
        <v>21.13</v>
      </c>
      <c r="K40" s="60"/>
      <c r="L40" s="59">
        <v>4390</v>
      </c>
      <c r="M40" s="59">
        <v>4390</v>
      </c>
      <c r="N40" s="59"/>
      <c r="O40" s="61">
        <f>208+0</f>
        <v>208</v>
      </c>
      <c r="P40" s="62" t="s">
        <v>39</v>
      </c>
      <c r="Q40" s="61">
        <f>4390+0</f>
        <v>4390</v>
      </c>
      <c r="R40" s="61">
        <v>208</v>
      </c>
      <c r="S40" s="61">
        <v>4390</v>
      </c>
      <c r="T40" s="62" t="s">
        <v>40</v>
      </c>
      <c r="U40" s="62" t="s">
        <v>41</v>
      </c>
      <c r="V40" s="61">
        <v>3863</v>
      </c>
      <c r="W40" s="61">
        <v>2107</v>
      </c>
      <c r="X40" s="62">
        <v>10360</v>
      </c>
      <c r="Y40" s="62">
        <v>216</v>
      </c>
      <c r="Z40" s="62">
        <v>125</v>
      </c>
      <c r="AA40" s="62">
        <v>88</v>
      </c>
      <c r="AB40" s="62">
        <v>48</v>
      </c>
      <c r="AC40" s="62" t="s">
        <v>42</v>
      </c>
      <c r="AD40" s="62" t="s">
        <v>42</v>
      </c>
      <c r="AE40" s="63">
        <v>4390</v>
      </c>
      <c r="AF40" s="63"/>
      <c r="AG40" s="63"/>
      <c r="AH40" s="63"/>
      <c r="AI40" s="61">
        <v>208</v>
      </c>
      <c r="AJ40" s="61"/>
      <c r="AK40" s="61"/>
      <c r="AL40" s="61"/>
      <c r="AM40" s="61">
        <v>4390</v>
      </c>
      <c r="AN40" s="61">
        <v>208</v>
      </c>
      <c r="AO40" s="64">
        <v>21.13</v>
      </c>
      <c r="AP40" s="64" t="s">
        <v>20</v>
      </c>
      <c r="AQ40" s="64" t="s">
        <v>20</v>
      </c>
      <c r="AR40" s="64" t="s">
        <v>20</v>
      </c>
      <c r="AS40" s="9"/>
    </row>
    <row r="41" spans="1:45" ht="102">
      <c r="A41" s="56">
        <v>11</v>
      </c>
      <c r="B41" s="57" t="s">
        <v>91</v>
      </c>
      <c r="C41" s="58">
        <v>4</v>
      </c>
      <c r="D41" s="59">
        <v>40.67</v>
      </c>
      <c r="E41" s="59">
        <v>38.7</v>
      </c>
      <c r="F41" s="59" t="s">
        <v>86</v>
      </c>
      <c r="G41" s="59">
        <v>163</v>
      </c>
      <c r="H41" s="59">
        <v>155</v>
      </c>
      <c r="I41" s="59" t="s">
        <v>92</v>
      </c>
      <c r="J41" s="59">
        <v>21.13</v>
      </c>
      <c r="K41" s="60" t="s">
        <v>88</v>
      </c>
      <c r="L41" s="59">
        <v>3333</v>
      </c>
      <c r="M41" s="59">
        <v>3271</v>
      </c>
      <c r="N41" s="59" t="s">
        <v>93</v>
      </c>
      <c r="O41" s="61">
        <f>155+1</f>
        <v>156</v>
      </c>
      <c r="P41" s="62" t="s">
        <v>39</v>
      </c>
      <c r="Q41" s="61">
        <f>3271+28</f>
        <v>3299</v>
      </c>
      <c r="R41" s="61">
        <v>163</v>
      </c>
      <c r="S41" s="61">
        <v>3333</v>
      </c>
      <c r="T41" s="62" t="s">
        <v>40</v>
      </c>
      <c r="U41" s="62" t="s">
        <v>41</v>
      </c>
      <c r="V41" s="61">
        <v>2903</v>
      </c>
      <c r="W41" s="61">
        <v>1584</v>
      </c>
      <c r="X41" s="62">
        <v>7820</v>
      </c>
      <c r="Y41" s="62">
        <v>162</v>
      </c>
      <c r="Z41" s="62">
        <v>94</v>
      </c>
      <c r="AA41" s="62">
        <v>88</v>
      </c>
      <c r="AB41" s="62">
        <v>48</v>
      </c>
      <c r="AC41" s="62" t="s">
        <v>42</v>
      </c>
      <c r="AD41" s="62" t="s">
        <v>42</v>
      </c>
      <c r="AE41" s="63">
        <v>3271</v>
      </c>
      <c r="AF41" s="63">
        <v>62</v>
      </c>
      <c r="AG41" s="63">
        <v>28</v>
      </c>
      <c r="AH41" s="63"/>
      <c r="AI41" s="61">
        <v>155</v>
      </c>
      <c r="AJ41" s="61">
        <v>8</v>
      </c>
      <c r="AK41" s="61">
        <v>1</v>
      </c>
      <c r="AL41" s="61"/>
      <c r="AM41" s="61">
        <v>3333</v>
      </c>
      <c r="AN41" s="61">
        <v>163</v>
      </c>
      <c r="AO41" s="64">
        <v>21.13</v>
      </c>
      <c r="AP41" s="64">
        <v>7.807</v>
      </c>
      <c r="AQ41" s="64">
        <v>20.086</v>
      </c>
      <c r="AR41" s="64" t="s">
        <v>20</v>
      </c>
      <c r="AS41" s="9"/>
    </row>
    <row r="42" spans="1:45" ht="127.5">
      <c r="A42" s="56">
        <v>12</v>
      </c>
      <c r="B42" s="57" t="s">
        <v>94</v>
      </c>
      <c r="C42" s="58">
        <v>0.0008</v>
      </c>
      <c r="D42" s="59">
        <v>657.93</v>
      </c>
      <c r="E42" s="59"/>
      <c r="F42" s="59" t="s">
        <v>95</v>
      </c>
      <c r="G42" s="59">
        <v>1</v>
      </c>
      <c r="H42" s="59"/>
      <c r="I42" s="59">
        <v>1</v>
      </c>
      <c r="J42" s="59">
        <v>21.13</v>
      </c>
      <c r="K42" s="60" t="s">
        <v>96</v>
      </c>
      <c r="L42" s="59">
        <v>4</v>
      </c>
      <c r="M42" s="59"/>
      <c r="N42" s="59" t="s">
        <v>97</v>
      </c>
      <c r="O42" s="61">
        <f>0+0</f>
        <v>0</v>
      </c>
      <c r="P42" s="62" t="s">
        <v>39</v>
      </c>
      <c r="Q42" s="61">
        <f>0+2</f>
        <v>2</v>
      </c>
      <c r="R42" s="61">
        <v>1</v>
      </c>
      <c r="S42" s="61">
        <v>4</v>
      </c>
      <c r="T42" s="62" t="s">
        <v>98</v>
      </c>
      <c r="U42" s="62" t="s">
        <v>99</v>
      </c>
      <c r="V42" s="61">
        <v>1</v>
      </c>
      <c r="W42" s="61">
        <v>1</v>
      </c>
      <c r="X42" s="62">
        <v>6</v>
      </c>
      <c r="Y42" s="62"/>
      <c r="Z42" s="62"/>
      <c r="AA42" s="62">
        <v>61</v>
      </c>
      <c r="AB42" s="62">
        <v>31</v>
      </c>
      <c r="AC42" s="62" t="s">
        <v>42</v>
      </c>
      <c r="AD42" s="62" t="s">
        <v>42</v>
      </c>
      <c r="AE42" s="63"/>
      <c r="AF42" s="63">
        <v>4</v>
      </c>
      <c r="AG42" s="63">
        <v>2</v>
      </c>
      <c r="AH42" s="63"/>
      <c r="AI42" s="61"/>
      <c r="AJ42" s="61">
        <v>1</v>
      </c>
      <c r="AK42" s="61"/>
      <c r="AL42" s="61"/>
      <c r="AM42" s="61">
        <v>4</v>
      </c>
      <c r="AN42" s="61">
        <v>1</v>
      </c>
      <c r="AO42" s="64">
        <v>21.13</v>
      </c>
      <c r="AP42" s="64">
        <v>7.805</v>
      </c>
      <c r="AQ42" s="64">
        <v>20.259</v>
      </c>
      <c r="AR42" s="64" t="s">
        <v>20</v>
      </c>
      <c r="AS42" s="9"/>
    </row>
    <row r="43" spans="1:45" ht="102">
      <c r="A43" s="56">
        <v>13</v>
      </c>
      <c r="B43" s="57" t="s">
        <v>56</v>
      </c>
      <c r="C43" s="58">
        <v>13.4</v>
      </c>
      <c r="D43" s="59">
        <v>3.28</v>
      </c>
      <c r="E43" s="59"/>
      <c r="F43" s="59">
        <v>3.28</v>
      </c>
      <c r="G43" s="59">
        <v>44</v>
      </c>
      <c r="H43" s="59"/>
      <c r="I43" s="59">
        <v>44</v>
      </c>
      <c r="J43" s="59"/>
      <c r="K43" s="60">
        <v>10.168</v>
      </c>
      <c r="L43" s="59">
        <v>447</v>
      </c>
      <c r="M43" s="59"/>
      <c r="N43" s="59">
        <v>447</v>
      </c>
      <c r="O43" s="61">
        <f>0+0</f>
        <v>0</v>
      </c>
      <c r="P43" s="62" t="s">
        <v>39</v>
      </c>
      <c r="Q43" s="61">
        <f>0+0</f>
        <v>0</v>
      </c>
      <c r="R43" s="61">
        <v>44</v>
      </c>
      <c r="S43" s="61">
        <v>447</v>
      </c>
      <c r="T43" s="62" t="s">
        <v>57</v>
      </c>
      <c r="U43" s="62" t="s">
        <v>58</v>
      </c>
      <c r="V43" s="61"/>
      <c r="W43" s="61"/>
      <c r="X43" s="62">
        <v>447</v>
      </c>
      <c r="Y43" s="62"/>
      <c r="Z43" s="62"/>
      <c r="AA43" s="62">
        <v>0</v>
      </c>
      <c r="AB43" s="62">
        <v>0</v>
      </c>
      <c r="AC43" s="62" t="s">
        <v>42</v>
      </c>
      <c r="AD43" s="62" t="s">
        <v>42</v>
      </c>
      <c r="AE43" s="63"/>
      <c r="AF43" s="63">
        <v>447</v>
      </c>
      <c r="AG43" s="63"/>
      <c r="AH43" s="63"/>
      <c r="AI43" s="61"/>
      <c r="AJ43" s="61">
        <v>44</v>
      </c>
      <c r="AK43" s="61"/>
      <c r="AL43" s="61"/>
      <c r="AM43" s="61">
        <v>447</v>
      </c>
      <c r="AN43" s="61">
        <v>44</v>
      </c>
      <c r="AO43" s="64" t="s">
        <v>20</v>
      </c>
      <c r="AP43" s="64">
        <v>10.168</v>
      </c>
      <c r="AQ43" s="64" t="s">
        <v>20</v>
      </c>
      <c r="AR43" s="64" t="s">
        <v>20</v>
      </c>
      <c r="AS43" s="9"/>
    </row>
    <row r="44" spans="1:45" ht="114.75">
      <c r="A44" s="56">
        <v>14</v>
      </c>
      <c r="B44" s="57" t="s">
        <v>100</v>
      </c>
      <c r="C44" s="58">
        <v>13.4</v>
      </c>
      <c r="D44" s="59">
        <v>11.81</v>
      </c>
      <c r="E44" s="59"/>
      <c r="F44" s="59">
        <v>11.81</v>
      </c>
      <c r="G44" s="59">
        <v>158</v>
      </c>
      <c r="H44" s="59"/>
      <c r="I44" s="59">
        <v>158</v>
      </c>
      <c r="J44" s="59"/>
      <c r="K44" s="60">
        <v>9.944</v>
      </c>
      <c r="L44" s="59">
        <v>1574</v>
      </c>
      <c r="M44" s="59"/>
      <c r="N44" s="59">
        <v>1574</v>
      </c>
      <c r="O44" s="61">
        <f>0+0</f>
        <v>0</v>
      </c>
      <c r="P44" s="62" t="s">
        <v>39</v>
      </c>
      <c r="Q44" s="61">
        <f>0+0</f>
        <v>0</v>
      </c>
      <c r="R44" s="61">
        <v>158</v>
      </c>
      <c r="S44" s="61">
        <v>1574</v>
      </c>
      <c r="T44" s="62" t="s">
        <v>57</v>
      </c>
      <c r="U44" s="62" t="s">
        <v>58</v>
      </c>
      <c r="V44" s="61"/>
      <c r="W44" s="61"/>
      <c r="X44" s="62">
        <v>1574</v>
      </c>
      <c r="Y44" s="62"/>
      <c r="Z44" s="62"/>
      <c r="AA44" s="62">
        <v>0</v>
      </c>
      <c r="AB44" s="62">
        <v>0</v>
      </c>
      <c r="AC44" s="62" t="s">
        <v>42</v>
      </c>
      <c r="AD44" s="62" t="s">
        <v>42</v>
      </c>
      <c r="AE44" s="63"/>
      <c r="AF44" s="63">
        <v>1574</v>
      </c>
      <c r="AG44" s="63"/>
      <c r="AH44" s="63"/>
      <c r="AI44" s="61"/>
      <c r="AJ44" s="61">
        <v>158</v>
      </c>
      <c r="AK44" s="61"/>
      <c r="AL44" s="61"/>
      <c r="AM44" s="61">
        <v>1574</v>
      </c>
      <c r="AN44" s="61">
        <v>158</v>
      </c>
      <c r="AO44" s="64" t="s">
        <v>20</v>
      </c>
      <c r="AP44" s="64">
        <v>9.944</v>
      </c>
      <c r="AQ44" s="64" t="s">
        <v>20</v>
      </c>
      <c r="AR44" s="64" t="s">
        <v>20</v>
      </c>
      <c r="AS44" s="9"/>
    </row>
    <row r="45" spans="1:45" ht="12.75">
      <c r="A45" s="87" t="s">
        <v>67</v>
      </c>
      <c r="B45" s="88"/>
      <c r="C45" s="88"/>
      <c r="D45" s="88"/>
      <c r="E45" s="88"/>
      <c r="F45" s="88"/>
      <c r="G45" s="84">
        <v>1767</v>
      </c>
      <c r="H45" s="59"/>
      <c r="I45" s="59"/>
      <c r="J45" s="59"/>
      <c r="K45" s="60"/>
      <c r="L45" s="84">
        <v>31052</v>
      </c>
      <c r="M45" s="59"/>
      <c r="N45" s="59"/>
      <c r="O45" s="65" t="s">
        <v>60</v>
      </c>
      <c r="P45" s="66" t="s">
        <v>60</v>
      </c>
      <c r="Q45" s="65" t="s">
        <v>60</v>
      </c>
      <c r="R45" s="65" t="s">
        <v>60</v>
      </c>
      <c r="S45" s="65" t="s">
        <v>60</v>
      </c>
      <c r="T45" s="66" t="s">
        <v>60</v>
      </c>
      <c r="U45" s="66" t="s">
        <v>60</v>
      </c>
      <c r="V45" s="65" t="s">
        <v>60</v>
      </c>
      <c r="W45" s="65" t="s">
        <v>60</v>
      </c>
      <c r="X45" s="66" t="s">
        <v>60</v>
      </c>
      <c r="Y45" s="66" t="s">
        <v>60</v>
      </c>
      <c r="Z45" s="66" t="s">
        <v>60</v>
      </c>
      <c r="AA45" s="66" t="s">
        <v>60</v>
      </c>
      <c r="AB45" s="66" t="s">
        <v>60</v>
      </c>
      <c r="AC45" s="66" t="s">
        <v>60</v>
      </c>
      <c r="AD45" s="66" t="s">
        <v>60</v>
      </c>
      <c r="AE45" s="67" t="s">
        <v>60</v>
      </c>
      <c r="AF45" s="67" t="s">
        <v>60</v>
      </c>
      <c r="AG45" s="67" t="s">
        <v>60</v>
      </c>
      <c r="AH45" s="67" t="s">
        <v>60</v>
      </c>
      <c r="AI45" s="65" t="s">
        <v>60</v>
      </c>
      <c r="AJ45" s="65" t="s">
        <v>60</v>
      </c>
      <c r="AK45" s="65" t="s">
        <v>60</v>
      </c>
      <c r="AL45" s="65" t="s">
        <v>60</v>
      </c>
      <c r="AM45" s="65"/>
      <c r="AN45" s="65"/>
      <c r="AO45" s="68" t="s">
        <v>60</v>
      </c>
      <c r="AP45" s="68" t="s">
        <v>60</v>
      </c>
      <c r="AQ45" s="68" t="s">
        <v>60</v>
      </c>
      <c r="AR45" s="68" t="s">
        <v>60</v>
      </c>
      <c r="AS45" s="9"/>
    </row>
    <row r="46" spans="1:45" ht="42" customHeight="1">
      <c r="A46" s="87" t="s">
        <v>463</v>
      </c>
      <c r="B46" s="88"/>
      <c r="C46" s="88"/>
      <c r="D46" s="88"/>
      <c r="E46" s="88"/>
      <c r="F46" s="88"/>
      <c r="G46" s="84"/>
      <c r="H46" s="59"/>
      <c r="I46" s="59"/>
      <c r="J46" s="59"/>
      <c r="K46" s="60"/>
      <c r="L46" s="84">
        <v>42256</v>
      </c>
      <c r="M46" s="59"/>
      <c r="N46" s="59"/>
      <c r="O46" s="65" t="s">
        <v>60</v>
      </c>
      <c r="P46" s="66" t="s">
        <v>60</v>
      </c>
      <c r="Q46" s="65" t="s">
        <v>60</v>
      </c>
      <c r="R46" s="65" t="s">
        <v>60</v>
      </c>
      <c r="S46" s="65" t="s">
        <v>60</v>
      </c>
      <c r="T46" s="66" t="s">
        <v>60</v>
      </c>
      <c r="U46" s="66" t="s">
        <v>60</v>
      </c>
      <c r="V46" s="65" t="s">
        <v>60</v>
      </c>
      <c r="W46" s="65" t="s">
        <v>60</v>
      </c>
      <c r="X46" s="66" t="s">
        <v>60</v>
      </c>
      <c r="Y46" s="66" t="s">
        <v>60</v>
      </c>
      <c r="Z46" s="66" t="s">
        <v>60</v>
      </c>
      <c r="AA46" s="66" t="s">
        <v>60</v>
      </c>
      <c r="AB46" s="66" t="s">
        <v>60</v>
      </c>
      <c r="AC46" s="66" t="s">
        <v>60</v>
      </c>
      <c r="AD46" s="66" t="s">
        <v>60</v>
      </c>
      <c r="AE46" s="67" t="s">
        <v>60</v>
      </c>
      <c r="AF46" s="67" t="s">
        <v>60</v>
      </c>
      <c r="AG46" s="67" t="s">
        <v>60</v>
      </c>
      <c r="AH46" s="67" t="s">
        <v>60</v>
      </c>
      <c r="AI46" s="65" t="s">
        <v>60</v>
      </c>
      <c r="AJ46" s="65" t="s">
        <v>60</v>
      </c>
      <c r="AK46" s="65" t="s">
        <v>60</v>
      </c>
      <c r="AL46" s="65" t="s">
        <v>60</v>
      </c>
      <c r="AM46" s="65"/>
      <c r="AN46" s="65"/>
      <c r="AO46" s="68" t="s">
        <v>60</v>
      </c>
      <c r="AP46" s="68" t="s">
        <v>60</v>
      </c>
      <c r="AQ46" s="68" t="s">
        <v>60</v>
      </c>
      <c r="AR46" s="68" t="s">
        <v>60</v>
      </c>
      <c r="AS46" s="9"/>
    </row>
    <row r="47" spans="1:45" ht="27.75" customHeight="1">
      <c r="A47" s="89" t="s">
        <v>101</v>
      </c>
      <c r="B47" s="90"/>
      <c r="C47" s="90"/>
      <c r="D47" s="90"/>
      <c r="E47" s="90"/>
      <c r="F47" s="90"/>
      <c r="G47" s="85">
        <v>1767</v>
      </c>
      <c r="H47" s="69"/>
      <c r="I47" s="69"/>
      <c r="J47" s="69"/>
      <c r="K47" s="70"/>
      <c r="L47" s="85">
        <v>42256</v>
      </c>
      <c r="M47" s="69"/>
      <c r="N47" s="69"/>
      <c r="O47" s="71" t="s">
        <v>60</v>
      </c>
      <c r="P47" s="72" t="s">
        <v>60</v>
      </c>
      <c r="Q47" s="71" t="s">
        <v>60</v>
      </c>
      <c r="R47" s="71" t="s">
        <v>60</v>
      </c>
      <c r="S47" s="71" t="s">
        <v>60</v>
      </c>
      <c r="T47" s="72" t="s">
        <v>60</v>
      </c>
      <c r="U47" s="72" t="s">
        <v>60</v>
      </c>
      <c r="V47" s="71" t="s">
        <v>60</v>
      </c>
      <c r="W47" s="71" t="s">
        <v>60</v>
      </c>
      <c r="X47" s="72" t="s">
        <v>60</v>
      </c>
      <c r="Y47" s="72" t="s">
        <v>60</v>
      </c>
      <c r="Z47" s="72" t="s">
        <v>60</v>
      </c>
      <c r="AA47" s="72" t="s">
        <v>60</v>
      </c>
      <c r="AB47" s="72" t="s">
        <v>60</v>
      </c>
      <c r="AC47" s="72" t="s">
        <v>60</v>
      </c>
      <c r="AD47" s="72" t="s">
        <v>60</v>
      </c>
      <c r="AE47" s="73" t="s">
        <v>60</v>
      </c>
      <c r="AF47" s="73" t="s">
        <v>60</v>
      </c>
      <c r="AG47" s="73" t="s">
        <v>60</v>
      </c>
      <c r="AH47" s="73" t="s">
        <v>60</v>
      </c>
      <c r="AI47" s="71" t="s">
        <v>60</v>
      </c>
      <c r="AJ47" s="71" t="s">
        <v>60</v>
      </c>
      <c r="AK47" s="71" t="s">
        <v>60</v>
      </c>
      <c r="AL47" s="71" t="s">
        <v>60</v>
      </c>
      <c r="AM47" s="71"/>
      <c r="AN47" s="71"/>
      <c r="AO47" s="74" t="s">
        <v>60</v>
      </c>
      <c r="AP47" s="74" t="s">
        <v>60</v>
      </c>
      <c r="AQ47" s="74" t="s">
        <v>60</v>
      </c>
      <c r="AR47" s="74" t="s">
        <v>60</v>
      </c>
      <c r="AS47" s="9"/>
    </row>
    <row r="48" spans="1:45" ht="21" customHeight="1">
      <c r="A48" s="92" t="s">
        <v>102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"/>
    </row>
    <row r="49" spans="1:45" ht="17.25" customHeight="1">
      <c r="A49" s="94" t="s">
        <v>103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"/>
    </row>
    <row r="50" spans="1:45" ht="127.5">
      <c r="A50" s="56">
        <v>15</v>
      </c>
      <c r="B50" s="57" t="s">
        <v>104</v>
      </c>
      <c r="C50" s="58">
        <v>0.04</v>
      </c>
      <c r="D50" s="59">
        <v>24545.99</v>
      </c>
      <c r="E50" s="59" t="s">
        <v>105</v>
      </c>
      <c r="F50" s="59" t="s">
        <v>106</v>
      </c>
      <c r="G50" s="59">
        <v>982</v>
      </c>
      <c r="H50" s="59" t="s">
        <v>107</v>
      </c>
      <c r="I50" s="59" t="s">
        <v>108</v>
      </c>
      <c r="J50" s="59" t="s">
        <v>109</v>
      </c>
      <c r="K50" s="60" t="s">
        <v>110</v>
      </c>
      <c r="L50" s="59">
        <v>6470</v>
      </c>
      <c r="M50" s="59" t="s">
        <v>111</v>
      </c>
      <c r="N50" s="59" t="s">
        <v>112</v>
      </c>
      <c r="O50" s="61">
        <f>12+19</f>
        <v>31</v>
      </c>
      <c r="P50" s="62" t="s">
        <v>39</v>
      </c>
      <c r="Q50" s="61">
        <f>255+381</f>
        <v>636</v>
      </c>
      <c r="R50" s="61">
        <v>982</v>
      </c>
      <c r="S50" s="61">
        <v>6470</v>
      </c>
      <c r="T50" s="62" t="s">
        <v>113</v>
      </c>
      <c r="U50" s="62" t="s">
        <v>114</v>
      </c>
      <c r="V50" s="61">
        <v>770</v>
      </c>
      <c r="W50" s="61">
        <v>413</v>
      </c>
      <c r="X50" s="62">
        <v>7653</v>
      </c>
      <c r="Y50" s="62">
        <v>44</v>
      </c>
      <c r="Z50" s="62">
        <v>25</v>
      </c>
      <c r="AA50" s="62">
        <v>121</v>
      </c>
      <c r="AB50" s="62">
        <v>65</v>
      </c>
      <c r="AC50" s="62" t="s">
        <v>42</v>
      </c>
      <c r="AD50" s="62" t="s">
        <v>42</v>
      </c>
      <c r="AE50" s="63">
        <v>255</v>
      </c>
      <c r="AF50" s="63">
        <v>1095</v>
      </c>
      <c r="AG50" s="63">
        <v>381</v>
      </c>
      <c r="AH50" s="63">
        <v>5120</v>
      </c>
      <c r="AI50" s="61">
        <v>12</v>
      </c>
      <c r="AJ50" s="61">
        <v>150</v>
      </c>
      <c r="AK50" s="61">
        <v>19</v>
      </c>
      <c r="AL50" s="61">
        <v>820</v>
      </c>
      <c r="AM50" s="61">
        <v>6470</v>
      </c>
      <c r="AN50" s="61">
        <v>982</v>
      </c>
      <c r="AO50" s="64">
        <v>21.13</v>
      </c>
      <c r="AP50" s="64">
        <v>7.285</v>
      </c>
      <c r="AQ50" s="64">
        <v>20.234</v>
      </c>
      <c r="AR50" s="64">
        <v>6.248</v>
      </c>
      <c r="AS50" s="9"/>
    </row>
    <row r="51" spans="1:45" ht="51">
      <c r="A51" s="56">
        <v>16</v>
      </c>
      <c r="B51" s="57" t="s">
        <v>115</v>
      </c>
      <c r="C51" s="58">
        <v>-4.7499</v>
      </c>
      <c r="D51" s="59">
        <v>118.6</v>
      </c>
      <c r="E51" s="59" t="s">
        <v>116</v>
      </c>
      <c r="F51" s="59"/>
      <c r="G51" s="59">
        <v>-563</v>
      </c>
      <c r="H51" s="59" t="s">
        <v>117</v>
      </c>
      <c r="I51" s="59"/>
      <c r="J51" s="59" t="s">
        <v>118</v>
      </c>
      <c r="K51" s="60"/>
      <c r="L51" s="59">
        <v>-4258</v>
      </c>
      <c r="M51" s="59" t="s">
        <v>119</v>
      </c>
      <c r="N51" s="59"/>
      <c r="O51" s="61">
        <f>0+0</f>
        <v>0</v>
      </c>
      <c r="P51" s="62" t="s">
        <v>120</v>
      </c>
      <c r="Q51" s="61">
        <f>0+0</f>
        <v>0</v>
      </c>
      <c r="R51" s="61">
        <v>-563</v>
      </c>
      <c r="S51" s="61">
        <v>-4258</v>
      </c>
      <c r="T51" s="62"/>
      <c r="U51" s="62"/>
      <c r="V51" s="61"/>
      <c r="W51" s="61"/>
      <c r="X51" s="62">
        <v>-4258</v>
      </c>
      <c r="Y51" s="62"/>
      <c r="Z51" s="62"/>
      <c r="AA51" s="62">
        <v>0</v>
      </c>
      <c r="AB51" s="62">
        <v>0</v>
      </c>
      <c r="AC51" s="62" t="s">
        <v>42</v>
      </c>
      <c r="AD51" s="62" t="s">
        <v>42</v>
      </c>
      <c r="AE51" s="63"/>
      <c r="AF51" s="63"/>
      <c r="AG51" s="63"/>
      <c r="AH51" s="63">
        <v>-4258</v>
      </c>
      <c r="AI51" s="61"/>
      <c r="AJ51" s="61"/>
      <c r="AK51" s="61"/>
      <c r="AL51" s="61">
        <v>-563</v>
      </c>
      <c r="AM51" s="61">
        <v>-4258</v>
      </c>
      <c r="AN51" s="61">
        <v>-563</v>
      </c>
      <c r="AO51" s="64" t="s">
        <v>20</v>
      </c>
      <c r="AP51" s="64" t="s">
        <v>20</v>
      </c>
      <c r="AQ51" s="64" t="s">
        <v>20</v>
      </c>
      <c r="AR51" s="64">
        <v>7.558</v>
      </c>
      <c r="AS51" s="9"/>
    </row>
    <row r="52" spans="1:45" ht="51">
      <c r="A52" s="56">
        <v>17</v>
      </c>
      <c r="B52" s="57" t="s">
        <v>121</v>
      </c>
      <c r="C52" s="58">
        <v>4.7499</v>
      </c>
      <c r="D52" s="59">
        <v>98.6</v>
      </c>
      <c r="E52" s="59" t="s">
        <v>122</v>
      </c>
      <c r="F52" s="59"/>
      <c r="G52" s="59">
        <v>468</v>
      </c>
      <c r="H52" s="59" t="s">
        <v>123</v>
      </c>
      <c r="I52" s="59"/>
      <c r="J52" s="59" t="s">
        <v>124</v>
      </c>
      <c r="K52" s="60"/>
      <c r="L52" s="59">
        <v>2864</v>
      </c>
      <c r="M52" s="59" t="s">
        <v>125</v>
      </c>
      <c r="N52" s="59"/>
      <c r="O52" s="61">
        <f>0+0</f>
        <v>0</v>
      </c>
      <c r="P52" s="62" t="s">
        <v>120</v>
      </c>
      <c r="Q52" s="61">
        <f>0+0</f>
        <v>0</v>
      </c>
      <c r="R52" s="61">
        <v>468</v>
      </c>
      <c r="S52" s="61">
        <v>2864</v>
      </c>
      <c r="T52" s="62"/>
      <c r="U52" s="62"/>
      <c r="V52" s="61"/>
      <c r="W52" s="61"/>
      <c r="X52" s="62">
        <v>2864</v>
      </c>
      <c r="Y52" s="62"/>
      <c r="Z52" s="62"/>
      <c r="AA52" s="62">
        <v>0</v>
      </c>
      <c r="AB52" s="62">
        <v>0</v>
      </c>
      <c r="AC52" s="62" t="s">
        <v>42</v>
      </c>
      <c r="AD52" s="62" t="s">
        <v>42</v>
      </c>
      <c r="AE52" s="63"/>
      <c r="AF52" s="63"/>
      <c r="AG52" s="63"/>
      <c r="AH52" s="63">
        <v>2864</v>
      </c>
      <c r="AI52" s="61"/>
      <c r="AJ52" s="61"/>
      <c r="AK52" s="61"/>
      <c r="AL52" s="61">
        <v>468</v>
      </c>
      <c r="AM52" s="61">
        <v>2864</v>
      </c>
      <c r="AN52" s="61">
        <v>468</v>
      </c>
      <c r="AO52" s="64" t="s">
        <v>20</v>
      </c>
      <c r="AP52" s="64" t="s">
        <v>20</v>
      </c>
      <c r="AQ52" s="64" t="s">
        <v>20</v>
      </c>
      <c r="AR52" s="64">
        <v>6.116</v>
      </c>
      <c r="AS52" s="9"/>
    </row>
    <row r="53" spans="1:45" ht="204">
      <c r="A53" s="56">
        <v>18</v>
      </c>
      <c r="B53" s="57" t="s">
        <v>126</v>
      </c>
      <c r="C53" s="58">
        <v>0.31666</v>
      </c>
      <c r="D53" s="59">
        <v>4442.31</v>
      </c>
      <c r="E53" s="59" t="s">
        <v>127</v>
      </c>
      <c r="F53" s="59" t="s">
        <v>128</v>
      </c>
      <c r="G53" s="59">
        <v>1406</v>
      </c>
      <c r="H53" s="59" t="s">
        <v>129</v>
      </c>
      <c r="I53" s="59" t="s">
        <v>130</v>
      </c>
      <c r="J53" s="59" t="s">
        <v>131</v>
      </c>
      <c r="K53" s="60" t="s">
        <v>132</v>
      </c>
      <c r="L53" s="59">
        <v>8863</v>
      </c>
      <c r="M53" s="59" t="s">
        <v>133</v>
      </c>
      <c r="N53" s="59" t="s">
        <v>134</v>
      </c>
      <c r="O53" s="61">
        <f>0+29</f>
        <v>29</v>
      </c>
      <c r="P53" s="62" t="s">
        <v>39</v>
      </c>
      <c r="Q53" s="61">
        <f>0+579</f>
        <v>579</v>
      </c>
      <c r="R53" s="61">
        <v>1406</v>
      </c>
      <c r="S53" s="61">
        <v>8863</v>
      </c>
      <c r="T53" s="62" t="s">
        <v>113</v>
      </c>
      <c r="U53" s="62" t="s">
        <v>114</v>
      </c>
      <c r="V53" s="61">
        <v>701</v>
      </c>
      <c r="W53" s="61">
        <v>376</v>
      </c>
      <c r="X53" s="62">
        <v>9940</v>
      </c>
      <c r="Y53" s="62">
        <v>41</v>
      </c>
      <c r="Z53" s="62">
        <v>23</v>
      </c>
      <c r="AA53" s="62">
        <v>121</v>
      </c>
      <c r="AB53" s="62">
        <v>65</v>
      </c>
      <c r="AC53" s="62" t="s">
        <v>42</v>
      </c>
      <c r="AD53" s="62" t="s">
        <v>42</v>
      </c>
      <c r="AE53" s="63"/>
      <c r="AF53" s="63">
        <v>1645</v>
      </c>
      <c r="AG53" s="63">
        <v>579</v>
      </c>
      <c r="AH53" s="63">
        <v>7218</v>
      </c>
      <c r="AI53" s="61"/>
      <c r="AJ53" s="61">
        <v>226</v>
      </c>
      <c r="AK53" s="61">
        <v>29</v>
      </c>
      <c r="AL53" s="61">
        <v>1180</v>
      </c>
      <c r="AM53" s="61">
        <v>8863</v>
      </c>
      <c r="AN53" s="61">
        <v>1406</v>
      </c>
      <c r="AO53" s="64">
        <v>21.13</v>
      </c>
      <c r="AP53" s="64">
        <v>7.261</v>
      </c>
      <c r="AQ53" s="64">
        <v>20.221</v>
      </c>
      <c r="AR53" s="64">
        <v>6.116</v>
      </c>
      <c r="AS53" s="9"/>
    </row>
    <row r="54" spans="1:45" ht="89.25">
      <c r="A54" s="56">
        <v>19</v>
      </c>
      <c r="B54" s="57" t="s">
        <v>135</v>
      </c>
      <c r="C54" s="58">
        <v>2.05</v>
      </c>
      <c r="D54" s="59">
        <v>4412.47</v>
      </c>
      <c r="E54" s="59" t="s">
        <v>136</v>
      </c>
      <c r="F54" s="59" t="s">
        <v>137</v>
      </c>
      <c r="G54" s="59">
        <v>9045</v>
      </c>
      <c r="H54" s="59" t="s">
        <v>138</v>
      </c>
      <c r="I54" s="59" t="s">
        <v>139</v>
      </c>
      <c r="J54" s="59" t="s">
        <v>140</v>
      </c>
      <c r="K54" s="60" t="s">
        <v>141</v>
      </c>
      <c r="L54" s="59">
        <v>68291</v>
      </c>
      <c r="M54" s="59" t="s">
        <v>142</v>
      </c>
      <c r="N54" s="59" t="s">
        <v>143</v>
      </c>
      <c r="O54" s="61">
        <f>1319+20</f>
        <v>1339</v>
      </c>
      <c r="P54" s="62" t="s">
        <v>39</v>
      </c>
      <c r="Q54" s="61">
        <f>27880+400</f>
        <v>28280</v>
      </c>
      <c r="R54" s="61">
        <v>9045</v>
      </c>
      <c r="S54" s="61">
        <v>68291</v>
      </c>
      <c r="T54" s="62" t="s">
        <v>113</v>
      </c>
      <c r="U54" s="62" t="s">
        <v>114</v>
      </c>
      <c r="V54" s="61">
        <v>34219</v>
      </c>
      <c r="W54" s="61">
        <v>18382</v>
      </c>
      <c r="X54" s="62">
        <v>120892</v>
      </c>
      <c r="Y54" s="62">
        <v>1901</v>
      </c>
      <c r="Z54" s="62">
        <v>1085</v>
      </c>
      <c r="AA54" s="62">
        <v>121</v>
      </c>
      <c r="AB54" s="62">
        <v>65</v>
      </c>
      <c r="AC54" s="62" t="s">
        <v>42</v>
      </c>
      <c r="AD54" s="62" t="s">
        <v>42</v>
      </c>
      <c r="AE54" s="63">
        <v>27880</v>
      </c>
      <c r="AF54" s="63">
        <v>1196</v>
      </c>
      <c r="AG54" s="63">
        <v>400</v>
      </c>
      <c r="AH54" s="63">
        <v>39215</v>
      </c>
      <c r="AI54" s="61">
        <v>1319</v>
      </c>
      <c r="AJ54" s="61">
        <v>161</v>
      </c>
      <c r="AK54" s="61">
        <v>20</v>
      </c>
      <c r="AL54" s="61">
        <v>7565</v>
      </c>
      <c r="AM54" s="61">
        <v>68291</v>
      </c>
      <c r="AN54" s="61">
        <v>9045</v>
      </c>
      <c r="AO54" s="64">
        <v>21.13</v>
      </c>
      <c r="AP54" s="64">
        <v>7.408</v>
      </c>
      <c r="AQ54" s="64">
        <v>20.232</v>
      </c>
      <c r="AR54" s="64">
        <v>5.184</v>
      </c>
      <c r="AS54" s="9"/>
    </row>
    <row r="55" spans="1:45" ht="38.25">
      <c r="A55" s="56">
        <v>20</v>
      </c>
      <c r="B55" s="57" t="s">
        <v>144</v>
      </c>
      <c r="C55" s="58">
        <v>-12.1</v>
      </c>
      <c r="D55" s="59">
        <v>592.76</v>
      </c>
      <c r="E55" s="59" t="s">
        <v>145</v>
      </c>
      <c r="F55" s="59"/>
      <c r="G55" s="59">
        <v>-7172</v>
      </c>
      <c r="H55" s="59" t="s">
        <v>146</v>
      </c>
      <c r="I55" s="59"/>
      <c r="J55" s="59" t="s">
        <v>147</v>
      </c>
      <c r="K55" s="60"/>
      <c r="L55" s="59">
        <v>-38071</v>
      </c>
      <c r="M55" s="59" t="s">
        <v>148</v>
      </c>
      <c r="N55" s="59"/>
      <c r="O55" s="61">
        <f>0+0</f>
        <v>0</v>
      </c>
      <c r="P55" s="62" t="s">
        <v>120</v>
      </c>
      <c r="Q55" s="61">
        <f>0+0</f>
        <v>0</v>
      </c>
      <c r="R55" s="61">
        <v>-7172</v>
      </c>
      <c r="S55" s="61">
        <v>-38071</v>
      </c>
      <c r="T55" s="62"/>
      <c r="U55" s="62"/>
      <c r="V55" s="61"/>
      <c r="W55" s="61"/>
      <c r="X55" s="62">
        <v>-38071</v>
      </c>
      <c r="Y55" s="62"/>
      <c r="Z55" s="62"/>
      <c r="AA55" s="62">
        <v>0</v>
      </c>
      <c r="AB55" s="62">
        <v>0</v>
      </c>
      <c r="AC55" s="62" t="s">
        <v>42</v>
      </c>
      <c r="AD55" s="62" t="s">
        <v>42</v>
      </c>
      <c r="AE55" s="63"/>
      <c r="AF55" s="63"/>
      <c r="AG55" s="63"/>
      <c r="AH55" s="63">
        <v>-38071</v>
      </c>
      <c r="AI55" s="61"/>
      <c r="AJ55" s="61"/>
      <c r="AK55" s="61"/>
      <c r="AL55" s="61">
        <v>-7172</v>
      </c>
      <c r="AM55" s="61">
        <v>-38071</v>
      </c>
      <c r="AN55" s="61">
        <v>-7172</v>
      </c>
      <c r="AO55" s="64" t="s">
        <v>20</v>
      </c>
      <c r="AP55" s="64" t="s">
        <v>20</v>
      </c>
      <c r="AQ55" s="64" t="s">
        <v>20</v>
      </c>
      <c r="AR55" s="64">
        <v>5.308</v>
      </c>
      <c r="AS55" s="9"/>
    </row>
    <row r="56" spans="1:45" ht="38.25">
      <c r="A56" s="56">
        <v>21</v>
      </c>
      <c r="B56" s="57" t="s">
        <v>149</v>
      </c>
      <c r="C56" s="58">
        <v>11.49</v>
      </c>
      <c r="D56" s="59">
        <v>560</v>
      </c>
      <c r="E56" s="59" t="s">
        <v>150</v>
      </c>
      <c r="F56" s="59"/>
      <c r="G56" s="59">
        <v>6434</v>
      </c>
      <c r="H56" s="59" t="s">
        <v>151</v>
      </c>
      <c r="I56" s="59"/>
      <c r="J56" s="59" t="s">
        <v>152</v>
      </c>
      <c r="K56" s="60"/>
      <c r="L56" s="59">
        <v>31554</v>
      </c>
      <c r="M56" s="59" t="s">
        <v>153</v>
      </c>
      <c r="N56" s="59"/>
      <c r="O56" s="61">
        <f>0+0</f>
        <v>0</v>
      </c>
      <c r="P56" s="62" t="s">
        <v>120</v>
      </c>
      <c r="Q56" s="61">
        <f>0+0</f>
        <v>0</v>
      </c>
      <c r="R56" s="61">
        <v>6434</v>
      </c>
      <c r="S56" s="61">
        <v>31554</v>
      </c>
      <c r="T56" s="62"/>
      <c r="U56" s="62"/>
      <c r="V56" s="61"/>
      <c r="W56" s="61"/>
      <c r="X56" s="62">
        <v>31554</v>
      </c>
      <c r="Y56" s="62"/>
      <c r="Z56" s="62"/>
      <c r="AA56" s="62">
        <v>0</v>
      </c>
      <c r="AB56" s="62">
        <v>0</v>
      </c>
      <c r="AC56" s="62" t="s">
        <v>42</v>
      </c>
      <c r="AD56" s="62" t="s">
        <v>42</v>
      </c>
      <c r="AE56" s="63"/>
      <c r="AF56" s="63"/>
      <c r="AG56" s="63"/>
      <c r="AH56" s="63">
        <v>31554</v>
      </c>
      <c r="AI56" s="61"/>
      <c r="AJ56" s="61"/>
      <c r="AK56" s="61"/>
      <c r="AL56" s="61">
        <v>6434</v>
      </c>
      <c r="AM56" s="61">
        <v>31554</v>
      </c>
      <c r="AN56" s="61">
        <v>6434</v>
      </c>
      <c r="AO56" s="64" t="s">
        <v>20</v>
      </c>
      <c r="AP56" s="64" t="s">
        <v>20</v>
      </c>
      <c r="AQ56" s="64" t="s">
        <v>20</v>
      </c>
      <c r="AR56" s="64">
        <v>4.904</v>
      </c>
      <c r="AS56" s="9"/>
    </row>
    <row r="57" spans="1:45" ht="38.25">
      <c r="A57" s="56">
        <v>22</v>
      </c>
      <c r="B57" s="57" t="s">
        <v>154</v>
      </c>
      <c r="C57" s="58">
        <v>263</v>
      </c>
      <c r="D57" s="59">
        <v>33.26</v>
      </c>
      <c r="E57" s="59" t="s">
        <v>155</v>
      </c>
      <c r="F57" s="59"/>
      <c r="G57" s="59">
        <v>8747</v>
      </c>
      <c r="H57" s="59" t="s">
        <v>156</v>
      </c>
      <c r="I57" s="59"/>
      <c r="J57" s="59" t="s">
        <v>81</v>
      </c>
      <c r="K57" s="60"/>
      <c r="L57" s="59">
        <v>65256</v>
      </c>
      <c r="M57" s="59" t="s">
        <v>157</v>
      </c>
      <c r="N57" s="59"/>
      <c r="O57" s="61">
        <f>0+0</f>
        <v>0</v>
      </c>
      <c r="P57" s="62" t="s">
        <v>120</v>
      </c>
      <c r="Q57" s="61">
        <f>0+0</f>
        <v>0</v>
      </c>
      <c r="R57" s="61">
        <v>8747</v>
      </c>
      <c r="S57" s="61">
        <v>65256</v>
      </c>
      <c r="T57" s="62"/>
      <c r="U57" s="62"/>
      <c r="V57" s="61"/>
      <c r="W57" s="61"/>
      <c r="X57" s="62">
        <v>65256</v>
      </c>
      <c r="Y57" s="62"/>
      <c r="Z57" s="62"/>
      <c r="AA57" s="62">
        <v>0</v>
      </c>
      <c r="AB57" s="62">
        <v>0</v>
      </c>
      <c r="AC57" s="62" t="s">
        <v>42</v>
      </c>
      <c r="AD57" s="62" t="s">
        <v>42</v>
      </c>
      <c r="AE57" s="63"/>
      <c r="AF57" s="63"/>
      <c r="AG57" s="63"/>
      <c r="AH57" s="63">
        <v>65256</v>
      </c>
      <c r="AI57" s="61"/>
      <c r="AJ57" s="61"/>
      <c r="AK57" s="61"/>
      <c r="AL57" s="61">
        <v>8747</v>
      </c>
      <c r="AM57" s="61">
        <v>65256</v>
      </c>
      <c r="AN57" s="61">
        <v>8747</v>
      </c>
      <c r="AO57" s="64" t="s">
        <v>20</v>
      </c>
      <c r="AP57" s="64" t="s">
        <v>20</v>
      </c>
      <c r="AQ57" s="64" t="s">
        <v>20</v>
      </c>
      <c r="AR57" s="64">
        <v>7.46</v>
      </c>
      <c r="AS57" s="9"/>
    </row>
    <row r="58" spans="1:45" ht="76.5">
      <c r="A58" s="56">
        <v>23</v>
      </c>
      <c r="B58" s="57" t="s">
        <v>158</v>
      </c>
      <c r="C58" s="58">
        <v>0.064</v>
      </c>
      <c r="D58" s="59">
        <v>39.1</v>
      </c>
      <c r="E58" s="59"/>
      <c r="F58" s="59" t="s">
        <v>159</v>
      </c>
      <c r="G58" s="59">
        <v>3</v>
      </c>
      <c r="H58" s="59"/>
      <c r="I58" s="59">
        <v>3</v>
      </c>
      <c r="J58" s="59">
        <v>21.13</v>
      </c>
      <c r="K58" s="60" t="s">
        <v>160</v>
      </c>
      <c r="L58" s="59">
        <v>20</v>
      </c>
      <c r="M58" s="59"/>
      <c r="N58" s="59" t="s">
        <v>161</v>
      </c>
      <c r="O58" s="61">
        <f>0+0</f>
        <v>0</v>
      </c>
      <c r="P58" s="62" t="s">
        <v>39</v>
      </c>
      <c r="Q58" s="61">
        <f>0+9</f>
        <v>9</v>
      </c>
      <c r="R58" s="61">
        <v>3</v>
      </c>
      <c r="S58" s="61">
        <v>20</v>
      </c>
      <c r="T58" s="62" t="s">
        <v>113</v>
      </c>
      <c r="U58" s="62" t="s">
        <v>114</v>
      </c>
      <c r="V58" s="61">
        <v>11</v>
      </c>
      <c r="W58" s="61">
        <v>6</v>
      </c>
      <c r="X58" s="62">
        <v>37</v>
      </c>
      <c r="Y58" s="62"/>
      <c r="Z58" s="62"/>
      <c r="AA58" s="62">
        <v>121</v>
      </c>
      <c r="AB58" s="62">
        <v>65</v>
      </c>
      <c r="AC58" s="62" t="s">
        <v>42</v>
      </c>
      <c r="AD58" s="62" t="s">
        <v>42</v>
      </c>
      <c r="AE58" s="63"/>
      <c r="AF58" s="63">
        <v>20</v>
      </c>
      <c r="AG58" s="63">
        <v>9</v>
      </c>
      <c r="AH58" s="63"/>
      <c r="AI58" s="61"/>
      <c r="AJ58" s="61">
        <v>3</v>
      </c>
      <c r="AK58" s="61"/>
      <c r="AL58" s="61"/>
      <c r="AM58" s="61">
        <v>20</v>
      </c>
      <c r="AN58" s="61">
        <v>3</v>
      </c>
      <c r="AO58" s="64">
        <v>21.13</v>
      </c>
      <c r="AP58" s="64">
        <v>8.151</v>
      </c>
      <c r="AQ58" s="64">
        <v>20.197</v>
      </c>
      <c r="AR58" s="64" t="s">
        <v>20</v>
      </c>
      <c r="AS58" s="9"/>
    </row>
    <row r="59" spans="1:45" ht="51">
      <c r="A59" s="56">
        <v>24</v>
      </c>
      <c r="B59" s="57" t="s">
        <v>162</v>
      </c>
      <c r="C59" s="58">
        <v>0.0659</v>
      </c>
      <c r="D59" s="59">
        <v>1487.6</v>
      </c>
      <c r="E59" s="59" t="s">
        <v>163</v>
      </c>
      <c r="F59" s="59"/>
      <c r="G59" s="59">
        <v>98</v>
      </c>
      <c r="H59" s="59" t="s">
        <v>164</v>
      </c>
      <c r="I59" s="59"/>
      <c r="J59" s="59" t="s">
        <v>165</v>
      </c>
      <c r="K59" s="60"/>
      <c r="L59" s="59">
        <v>1132</v>
      </c>
      <c r="M59" s="59" t="s">
        <v>166</v>
      </c>
      <c r="N59" s="59"/>
      <c r="O59" s="61">
        <f>0+0</f>
        <v>0</v>
      </c>
      <c r="P59" s="62" t="s">
        <v>120</v>
      </c>
      <c r="Q59" s="61">
        <f>0+0</f>
        <v>0</v>
      </c>
      <c r="R59" s="61">
        <v>98</v>
      </c>
      <c r="S59" s="61">
        <v>1132</v>
      </c>
      <c r="T59" s="62"/>
      <c r="U59" s="62"/>
      <c r="V59" s="61"/>
      <c r="W59" s="61"/>
      <c r="X59" s="62">
        <v>1132</v>
      </c>
      <c r="Y59" s="62"/>
      <c r="Z59" s="62"/>
      <c r="AA59" s="62">
        <v>0</v>
      </c>
      <c r="AB59" s="62">
        <v>0</v>
      </c>
      <c r="AC59" s="62" t="s">
        <v>42</v>
      </c>
      <c r="AD59" s="62" t="s">
        <v>42</v>
      </c>
      <c r="AE59" s="63"/>
      <c r="AF59" s="63"/>
      <c r="AG59" s="63"/>
      <c r="AH59" s="63">
        <v>1132</v>
      </c>
      <c r="AI59" s="61"/>
      <c r="AJ59" s="61"/>
      <c r="AK59" s="61"/>
      <c r="AL59" s="61">
        <v>98</v>
      </c>
      <c r="AM59" s="61">
        <v>1132</v>
      </c>
      <c r="AN59" s="61">
        <v>98</v>
      </c>
      <c r="AO59" s="64" t="s">
        <v>20</v>
      </c>
      <c r="AP59" s="64" t="s">
        <v>20</v>
      </c>
      <c r="AQ59" s="64" t="s">
        <v>20</v>
      </c>
      <c r="AR59" s="64">
        <v>11.549</v>
      </c>
      <c r="AS59" s="9"/>
    </row>
    <row r="60" spans="1:45" ht="114.75">
      <c r="A60" s="56">
        <v>25</v>
      </c>
      <c r="B60" s="57" t="s">
        <v>167</v>
      </c>
      <c r="C60" s="58">
        <v>0.08</v>
      </c>
      <c r="D60" s="59">
        <v>2984.49</v>
      </c>
      <c r="E60" s="59" t="s">
        <v>168</v>
      </c>
      <c r="F60" s="59" t="s">
        <v>169</v>
      </c>
      <c r="G60" s="59">
        <v>238</v>
      </c>
      <c r="H60" s="59" t="s">
        <v>170</v>
      </c>
      <c r="I60" s="59" t="s">
        <v>171</v>
      </c>
      <c r="J60" s="59" t="s">
        <v>172</v>
      </c>
      <c r="K60" s="60" t="s">
        <v>173</v>
      </c>
      <c r="L60" s="59">
        <v>1994</v>
      </c>
      <c r="M60" s="59" t="s">
        <v>174</v>
      </c>
      <c r="N60" s="59" t="s">
        <v>175</v>
      </c>
      <c r="O60" s="61">
        <f>29+21</f>
        <v>50</v>
      </c>
      <c r="P60" s="62" t="s">
        <v>39</v>
      </c>
      <c r="Q60" s="61">
        <f>623+426</f>
        <v>1049</v>
      </c>
      <c r="R60" s="61">
        <v>238</v>
      </c>
      <c r="S60" s="61">
        <v>1994</v>
      </c>
      <c r="T60" s="62" t="s">
        <v>113</v>
      </c>
      <c r="U60" s="62" t="s">
        <v>114</v>
      </c>
      <c r="V60" s="61">
        <v>1269</v>
      </c>
      <c r="W60" s="61">
        <v>682</v>
      </c>
      <c r="X60" s="62">
        <v>3945</v>
      </c>
      <c r="Y60" s="62">
        <v>71</v>
      </c>
      <c r="Z60" s="62">
        <v>41</v>
      </c>
      <c r="AA60" s="62">
        <v>121</v>
      </c>
      <c r="AB60" s="62">
        <v>65</v>
      </c>
      <c r="AC60" s="62" t="s">
        <v>42</v>
      </c>
      <c r="AD60" s="62" t="s">
        <v>42</v>
      </c>
      <c r="AE60" s="63">
        <v>623</v>
      </c>
      <c r="AF60" s="63">
        <v>1288</v>
      </c>
      <c r="AG60" s="63">
        <v>426</v>
      </c>
      <c r="AH60" s="63">
        <v>83</v>
      </c>
      <c r="AI60" s="61">
        <v>29</v>
      </c>
      <c r="AJ60" s="61">
        <v>191</v>
      </c>
      <c r="AK60" s="61">
        <v>21</v>
      </c>
      <c r="AL60" s="61">
        <v>18</v>
      </c>
      <c r="AM60" s="61">
        <v>1994</v>
      </c>
      <c r="AN60" s="61">
        <v>238</v>
      </c>
      <c r="AO60" s="64">
        <v>21.13</v>
      </c>
      <c r="AP60" s="64">
        <v>6.752</v>
      </c>
      <c r="AQ60" s="64">
        <v>20.247</v>
      </c>
      <c r="AR60" s="64">
        <v>4.494</v>
      </c>
      <c r="AS60" s="9"/>
    </row>
    <row r="61" spans="1:45" ht="191.25">
      <c r="A61" s="56">
        <v>26</v>
      </c>
      <c r="B61" s="57" t="s">
        <v>176</v>
      </c>
      <c r="C61" s="58">
        <v>0.08</v>
      </c>
      <c r="D61" s="59">
        <v>15.88</v>
      </c>
      <c r="E61" s="59">
        <v>3.48</v>
      </c>
      <c r="F61" s="59">
        <v>12.4</v>
      </c>
      <c r="G61" s="59">
        <v>1</v>
      </c>
      <c r="H61" s="59"/>
      <c r="I61" s="59">
        <v>1</v>
      </c>
      <c r="J61" s="59">
        <v>21.13</v>
      </c>
      <c r="K61" s="60">
        <v>0.732</v>
      </c>
      <c r="L61" s="59">
        <v>7</v>
      </c>
      <c r="M61" s="59">
        <v>6</v>
      </c>
      <c r="N61" s="59">
        <v>1</v>
      </c>
      <c r="O61" s="61">
        <f>0+0</f>
        <v>0</v>
      </c>
      <c r="P61" s="62" t="s">
        <v>39</v>
      </c>
      <c r="Q61" s="61">
        <f>6+0</f>
        <v>6</v>
      </c>
      <c r="R61" s="61">
        <v>1</v>
      </c>
      <c r="S61" s="61">
        <v>7</v>
      </c>
      <c r="T61" s="62" t="s">
        <v>113</v>
      </c>
      <c r="U61" s="62" t="s">
        <v>114</v>
      </c>
      <c r="V61" s="61">
        <v>7</v>
      </c>
      <c r="W61" s="61">
        <v>4</v>
      </c>
      <c r="X61" s="62">
        <v>18</v>
      </c>
      <c r="Y61" s="62"/>
      <c r="Z61" s="62"/>
      <c r="AA61" s="62">
        <v>121</v>
      </c>
      <c r="AB61" s="62">
        <v>65</v>
      </c>
      <c r="AC61" s="62" t="s">
        <v>42</v>
      </c>
      <c r="AD61" s="62" t="s">
        <v>42</v>
      </c>
      <c r="AE61" s="63">
        <v>6</v>
      </c>
      <c r="AF61" s="63">
        <v>1</v>
      </c>
      <c r="AG61" s="63"/>
      <c r="AH61" s="63"/>
      <c r="AI61" s="61"/>
      <c r="AJ61" s="61">
        <v>1</v>
      </c>
      <c r="AK61" s="61"/>
      <c r="AL61" s="61"/>
      <c r="AM61" s="61">
        <v>7</v>
      </c>
      <c r="AN61" s="61">
        <v>1</v>
      </c>
      <c r="AO61" s="64">
        <v>21.13</v>
      </c>
      <c r="AP61" s="64">
        <v>0.732</v>
      </c>
      <c r="AQ61" s="64" t="s">
        <v>20</v>
      </c>
      <c r="AR61" s="64" t="s">
        <v>20</v>
      </c>
      <c r="AS61" s="9"/>
    </row>
    <row r="62" spans="1:45" ht="51">
      <c r="A62" s="56">
        <v>27</v>
      </c>
      <c r="B62" s="57" t="s">
        <v>177</v>
      </c>
      <c r="C62" s="58">
        <v>0.0013</v>
      </c>
      <c r="D62" s="59">
        <v>1690</v>
      </c>
      <c r="E62" s="59" t="s">
        <v>178</v>
      </c>
      <c r="F62" s="59"/>
      <c r="G62" s="59">
        <v>2</v>
      </c>
      <c r="H62" s="59" t="s">
        <v>179</v>
      </c>
      <c r="I62" s="59"/>
      <c r="J62" s="59" t="s">
        <v>180</v>
      </c>
      <c r="K62" s="60"/>
      <c r="L62" s="59">
        <v>20</v>
      </c>
      <c r="M62" s="59" t="s">
        <v>181</v>
      </c>
      <c r="N62" s="59"/>
      <c r="O62" s="61">
        <f>0+0</f>
        <v>0</v>
      </c>
      <c r="P62" s="62" t="s">
        <v>120</v>
      </c>
      <c r="Q62" s="61">
        <f>0+0</f>
        <v>0</v>
      </c>
      <c r="R62" s="61">
        <v>2</v>
      </c>
      <c r="S62" s="61">
        <v>20</v>
      </c>
      <c r="T62" s="62"/>
      <c r="U62" s="62"/>
      <c r="V62" s="61"/>
      <c r="W62" s="61"/>
      <c r="X62" s="62">
        <v>20</v>
      </c>
      <c r="Y62" s="62"/>
      <c r="Z62" s="62"/>
      <c r="AA62" s="62">
        <v>0</v>
      </c>
      <c r="AB62" s="62">
        <v>0</v>
      </c>
      <c r="AC62" s="62" t="s">
        <v>42</v>
      </c>
      <c r="AD62" s="62" t="s">
        <v>42</v>
      </c>
      <c r="AE62" s="63"/>
      <c r="AF62" s="63"/>
      <c r="AG62" s="63"/>
      <c r="AH62" s="63">
        <v>20</v>
      </c>
      <c r="AI62" s="61"/>
      <c r="AJ62" s="61"/>
      <c r="AK62" s="61"/>
      <c r="AL62" s="61">
        <v>2</v>
      </c>
      <c r="AM62" s="61">
        <v>20</v>
      </c>
      <c r="AN62" s="61">
        <v>2</v>
      </c>
      <c r="AO62" s="64" t="s">
        <v>20</v>
      </c>
      <c r="AP62" s="64" t="s">
        <v>20</v>
      </c>
      <c r="AQ62" s="64" t="s">
        <v>20</v>
      </c>
      <c r="AR62" s="64">
        <v>9.245</v>
      </c>
      <c r="AS62" s="9"/>
    </row>
    <row r="63" spans="1:45" ht="76.5">
      <c r="A63" s="56">
        <v>28</v>
      </c>
      <c r="B63" s="57" t="s">
        <v>182</v>
      </c>
      <c r="C63" s="58">
        <v>11.6</v>
      </c>
      <c r="D63" s="59">
        <v>512.4</v>
      </c>
      <c r="E63" s="59" t="s">
        <v>183</v>
      </c>
      <c r="F63" s="59"/>
      <c r="G63" s="59">
        <v>5944</v>
      </c>
      <c r="H63" s="59" t="s">
        <v>184</v>
      </c>
      <c r="I63" s="59"/>
      <c r="J63" s="59" t="s">
        <v>185</v>
      </c>
      <c r="K63" s="60"/>
      <c r="L63" s="59">
        <v>38736</v>
      </c>
      <c r="M63" s="59" t="s">
        <v>186</v>
      </c>
      <c r="N63" s="59"/>
      <c r="O63" s="61">
        <f>0+0</f>
        <v>0</v>
      </c>
      <c r="P63" s="62" t="s">
        <v>120</v>
      </c>
      <c r="Q63" s="61">
        <f>0+0</f>
        <v>0</v>
      </c>
      <c r="R63" s="61">
        <v>5944</v>
      </c>
      <c r="S63" s="61">
        <v>38736</v>
      </c>
      <c r="T63" s="62"/>
      <c r="U63" s="62"/>
      <c r="V63" s="61"/>
      <c r="W63" s="61"/>
      <c r="X63" s="62">
        <v>38736</v>
      </c>
      <c r="Y63" s="62"/>
      <c r="Z63" s="62"/>
      <c r="AA63" s="62">
        <v>0</v>
      </c>
      <c r="AB63" s="62">
        <v>0</v>
      </c>
      <c r="AC63" s="62" t="s">
        <v>42</v>
      </c>
      <c r="AD63" s="62" t="s">
        <v>42</v>
      </c>
      <c r="AE63" s="63"/>
      <c r="AF63" s="63"/>
      <c r="AG63" s="63"/>
      <c r="AH63" s="63">
        <v>38736</v>
      </c>
      <c r="AI63" s="61"/>
      <c r="AJ63" s="61"/>
      <c r="AK63" s="61"/>
      <c r="AL63" s="61">
        <v>5944</v>
      </c>
      <c r="AM63" s="61">
        <v>38736</v>
      </c>
      <c r="AN63" s="61">
        <v>5944</v>
      </c>
      <c r="AO63" s="64" t="s">
        <v>20</v>
      </c>
      <c r="AP63" s="64" t="s">
        <v>20</v>
      </c>
      <c r="AQ63" s="64" t="s">
        <v>20</v>
      </c>
      <c r="AR63" s="64">
        <v>6.517</v>
      </c>
      <c r="AS63" s="9"/>
    </row>
    <row r="64" spans="1:45" ht="12.75">
      <c r="A64" s="87" t="s">
        <v>67</v>
      </c>
      <c r="B64" s="88"/>
      <c r="C64" s="88"/>
      <c r="D64" s="88"/>
      <c r="E64" s="88"/>
      <c r="F64" s="88"/>
      <c r="G64" s="84">
        <v>28865</v>
      </c>
      <c r="H64" s="59"/>
      <c r="I64" s="59"/>
      <c r="J64" s="59"/>
      <c r="K64" s="60"/>
      <c r="L64" s="84">
        <v>239717</v>
      </c>
      <c r="M64" s="59"/>
      <c r="N64" s="59"/>
      <c r="O64" s="65" t="s">
        <v>60</v>
      </c>
      <c r="P64" s="66" t="s">
        <v>60</v>
      </c>
      <c r="Q64" s="65" t="s">
        <v>60</v>
      </c>
      <c r="R64" s="65" t="s">
        <v>60</v>
      </c>
      <c r="S64" s="65" t="s">
        <v>60</v>
      </c>
      <c r="T64" s="66" t="s">
        <v>60</v>
      </c>
      <c r="U64" s="66" t="s">
        <v>60</v>
      </c>
      <c r="V64" s="65" t="s">
        <v>60</v>
      </c>
      <c r="W64" s="65" t="s">
        <v>60</v>
      </c>
      <c r="X64" s="66" t="s">
        <v>60</v>
      </c>
      <c r="Y64" s="66" t="s">
        <v>60</v>
      </c>
      <c r="Z64" s="66" t="s">
        <v>60</v>
      </c>
      <c r="AA64" s="66" t="s">
        <v>60</v>
      </c>
      <c r="AB64" s="66" t="s">
        <v>60</v>
      </c>
      <c r="AC64" s="66" t="s">
        <v>60</v>
      </c>
      <c r="AD64" s="66" t="s">
        <v>60</v>
      </c>
      <c r="AE64" s="67" t="s">
        <v>60</v>
      </c>
      <c r="AF64" s="67" t="s">
        <v>60</v>
      </c>
      <c r="AG64" s="67" t="s">
        <v>60</v>
      </c>
      <c r="AH64" s="67" t="s">
        <v>60</v>
      </c>
      <c r="AI64" s="65" t="s">
        <v>60</v>
      </c>
      <c r="AJ64" s="65" t="s">
        <v>60</v>
      </c>
      <c r="AK64" s="65" t="s">
        <v>60</v>
      </c>
      <c r="AL64" s="65" t="s">
        <v>60</v>
      </c>
      <c r="AM64" s="65"/>
      <c r="AN64" s="65"/>
      <c r="AO64" s="68" t="s">
        <v>60</v>
      </c>
      <c r="AP64" s="68" t="s">
        <v>60</v>
      </c>
      <c r="AQ64" s="68" t="s">
        <v>60</v>
      </c>
      <c r="AR64" s="68" t="s">
        <v>60</v>
      </c>
      <c r="AS64" s="9"/>
    </row>
    <row r="65" spans="1:45" ht="42" customHeight="1">
      <c r="A65" s="87" t="s">
        <v>462</v>
      </c>
      <c r="B65" s="88"/>
      <c r="C65" s="88"/>
      <c r="D65" s="88"/>
      <c r="E65" s="88"/>
      <c r="F65" s="88"/>
      <c r="G65" s="84"/>
      <c r="H65" s="59"/>
      <c r="I65" s="59"/>
      <c r="J65" s="59"/>
      <c r="K65" s="60"/>
      <c r="L65" s="84">
        <v>326207</v>
      </c>
      <c r="M65" s="59"/>
      <c r="N65" s="59"/>
      <c r="O65" s="65" t="s">
        <v>60</v>
      </c>
      <c r="P65" s="66" t="s">
        <v>60</v>
      </c>
      <c r="Q65" s="65" t="s">
        <v>60</v>
      </c>
      <c r="R65" s="65" t="s">
        <v>60</v>
      </c>
      <c r="S65" s="65" t="s">
        <v>60</v>
      </c>
      <c r="T65" s="66" t="s">
        <v>60</v>
      </c>
      <c r="U65" s="66" t="s">
        <v>60</v>
      </c>
      <c r="V65" s="65" t="s">
        <v>60</v>
      </c>
      <c r="W65" s="65" t="s">
        <v>60</v>
      </c>
      <c r="X65" s="66" t="s">
        <v>60</v>
      </c>
      <c r="Y65" s="66" t="s">
        <v>60</v>
      </c>
      <c r="Z65" s="66" t="s">
        <v>60</v>
      </c>
      <c r="AA65" s="66" t="s">
        <v>60</v>
      </c>
      <c r="AB65" s="66" t="s">
        <v>60</v>
      </c>
      <c r="AC65" s="66" t="s">
        <v>60</v>
      </c>
      <c r="AD65" s="66" t="s">
        <v>60</v>
      </c>
      <c r="AE65" s="67" t="s">
        <v>60</v>
      </c>
      <c r="AF65" s="67" t="s">
        <v>60</v>
      </c>
      <c r="AG65" s="67" t="s">
        <v>60</v>
      </c>
      <c r="AH65" s="67" t="s">
        <v>60</v>
      </c>
      <c r="AI65" s="65" t="s">
        <v>60</v>
      </c>
      <c r="AJ65" s="65" t="s">
        <v>60</v>
      </c>
      <c r="AK65" s="65" t="s">
        <v>60</v>
      </c>
      <c r="AL65" s="65" t="s">
        <v>60</v>
      </c>
      <c r="AM65" s="65"/>
      <c r="AN65" s="65"/>
      <c r="AO65" s="68" t="s">
        <v>60</v>
      </c>
      <c r="AP65" s="68" t="s">
        <v>60</v>
      </c>
      <c r="AQ65" s="68" t="s">
        <v>60</v>
      </c>
      <c r="AR65" s="68" t="s">
        <v>60</v>
      </c>
      <c r="AS65" s="9"/>
    </row>
    <row r="66" spans="1:45" ht="12.75">
      <c r="A66" s="89" t="s">
        <v>188</v>
      </c>
      <c r="B66" s="90"/>
      <c r="C66" s="90"/>
      <c r="D66" s="90"/>
      <c r="E66" s="90"/>
      <c r="F66" s="90"/>
      <c r="G66" s="85">
        <v>28865</v>
      </c>
      <c r="H66" s="69"/>
      <c r="I66" s="69"/>
      <c r="J66" s="69"/>
      <c r="K66" s="70"/>
      <c r="L66" s="85">
        <v>326207</v>
      </c>
      <c r="M66" s="69"/>
      <c r="N66" s="69"/>
      <c r="O66" s="71" t="s">
        <v>60</v>
      </c>
      <c r="P66" s="72" t="s">
        <v>60</v>
      </c>
      <c r="Q66" s="71" t="s">
        <v>60</v>
      </c>
      <c r="R66" s="71" t="s">
        <v>60</v>
      </c>
      <c r="S66" s="71" t="s">
        <v>60</v>
      </c>
      <c r="T66" s="72" t="s">
        <v>60</v>
      </c>
      <c r="U66" s="72" t="s">
        <v>60</v>
      </c>
      <c r="V66" s="71" t="s">
        <v>60</v>
      </c>
      <c r="W66" s="71" t="s">
        <v>60</v>
      </c>
      <c r="X66" s="72" t="s">
        <v>60</v>
      </c>
      <c r="Y66" s="72" t="s">
        <v>60</v>
      </c>
      <c r="Z66" s="72" t="s">
        <v>60</v>
      </c>
      <c r="AA66" s="72" t="s">
        <v>60</v>
      </c>
      <c r="AB66" s="72" t="s">
        <v>60</v>
      </c>
      <c r="AC66" s="72" t="s">
        <v>60</v>
      </c>
      <c r="AD66" s="72" t="s">
        <v>60</v>
      </c>
      <c r="AE66" s="73" t="s">
        <v>60</v>
      </c>
      <c r="AF66" s="73" t="s">
        <v>60</v>
      </c>
      <c r="AG66" s="73" t="s">
        <v>60</v>
      </c>
      <c r="AH66" s="73" t="s">
        <v>60</v>
      </c>
      <c r="AI66" s="71" t="s">
        <v>60</v>
      </c>
      <c r="AJ66" s="71" t="s">
        <v>60</v>
      </c>
      <c r="AK66" s="71" t="s">
        <v>60</v>
      </c>
      <c r="AL66" s="71" t="s">
        <v>60</v>
      </c>
      <c r="AM66" s="71"/>
      <c r="AN66" s="71"/>
      <c r="AO66" s="74" t="s">
        <v>60</v>
      </c>
      <c r="AP66" s="74" t="s">
        <v>60</v>
      </c>
      <c r="AQ66" s="74" t="s">
        <v>60</v>
      </c>
      <c r="AR66" s="74" t="s">
        <v>60</v>
      </c>
      <c r="AS66" s="9"/>
    </row>
    <row r="67" spans="1:45" ht="21" customHeight="1">
      <c r="A67" s="92" t="s">
        <v>189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"/>
    </row>
    <row r="68" spans="1:45" ht="17.25" customHeight="1">
      <c r="A68" s="94" t="s">
        <v>190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"/>
    </row>
    <row r="69" spans="1:45" ht="89.25">
      <c r="A69" s="56">
        <v>29</v>
      </c>
      <c r="B69" s="57" t="s">
        <v>191</v>
      </c>
      <c r="C69" s="58">
        <v>0.002</v>
      </c>
      <c r="D69" s="59">
        <v>663.75</v>
      </c>
      <c r="E69" s="59">
        <v>663.75</v>
      </c>
      <c r="F69" s="59"/>
      <c r="G69" s="59">
        <v>1</v>
      </c>
      <c r="H69" s="59">
        <v>1</v>
      </c>
      <c r="I69" s="59"/>
      <c r="J69" s="59">
        <v>21.13</v>
      </c>
      <c r="K69" s="60"/>
      <c r="L69" s="59">
        <v>28</v>
      </c>
      <c r="M69" s="59">
        <v>28</v>
      </c>
      <c r="N69" s="59"/>
      <c r="O69" s="61">
        <f>1+0</f>
        <v>1</v>
      </c>
      <c r="P69" s="62" t="s">
        <v>39</v>
      </c>
      <c r="Q69" s="61">
        <f>28+0</f>
        <v>28</v>
      </c>
      <c r="R69" s="61">
        <v>1</v>
      </c>
      <c r="S69" s="61">
        <v>28</v>
      </c>
      <c r="T69" s="62" t="s">
        <v>98</v>
      </c>
      <c r="U69" s="62" t="s">
        <v>99</v>
      </c>
      <c r="V69" s="61">
        <v>19</v>
      </c>
      <c r="W69" s="61">
        <v>9</v>
      </c>
      <c r="X69" s="62">
        <v>56</v>
      </c>
      <c r="Y69" s="62">
        <v>1</v>
      </c>
      <c r="Z69" s="62"/>
      <c r="AA69" s="62">
        <v>61</v>
      </c>
      <c r="AB69" s="62">
        <v>31</v>
      </c>
      <c r="AC69" s="62" t="s">
        <v>42</v>
      </c>
      <c r="AD69" s="62" t="s">
        <v>42</v>
      </c>
      <c r="AE69" s="63">
        <v>28</v>
      </c>
      <c r="AF69" s="63"/>
      <c r="AG69" s="63"/>
      <c r="AH69" s="63"/>
      <c r="AI69" s="61">
        <v>1</v>
      </c>
      <c r="AJ69" s="61"/>
      <c r="AK69" s="61"/>
      <c r="AL69" s="61"/>
      <c r="AM69" s="61">
        <v>28</v>
      </c>
      <c r="AN69" s="61">
        <v>1</v>
      </c>
      <c r="AO69" s="64">
        <v>21.13</v>
      </c>
      <c r="AP69" s="64" t="s">
        <v>20</v>
      </c>
      <c r="AQ69" s="64" t="s">
        <v>20</v>
      </c>
      <c r="AR69" s="64" t="s">
        <v>20</v>
      </c>
      <c r="AS69" s="9"/>
    </row>
    <row r="70" spans="1:45" ht="114.75">
      <c r="A70" s="56">
        <v>30</v>
      </c>
      <c r="B70" s="57" t="s">
        <v>192</v>
      </c>
      <c r="C70" s="58">
        <v>0.111</v>
      </c>
      <c r="D70" s="59">
        <v>3494.91</v>
      </c>
      <c r="E70" s="59" t="s">
        <v>193</v>
      </c>
      <c r="F70" s="59" t="s">
        <v>194</v>
      </c>
      <c r="G70" s="59">
        <v>388</v>
      </c>
      <c r="H70" s="59">
        <v>11</v>
      </c>
      <c r="I70" s="59" t="s">
        <v>195</v>
      </c>
      <c r="J70" s="59" t="s">
        <v>196</v>
      </c>
      <c r="K70" s="60" t="s">
        <v>197</v>
      </c>
      <c r="L70" s="59">
        <v>2983</v>
      </c>
      <c r="M70" s="59" t="s">
        <v>198</v>
      </c>
      <c r="N70" s="59" t="s">
        <v>199</v>
      </c>
      <c r="O70" s="61">
        <f>11+54</f>
        <v>65</v>
      </c>
      <c r="P70" s="62" t="s">
        <v>39</v>
      </c>
      <c r="Q70" s="61">
        <f>225+1083</f>
        <v>1308</v>
      </c>
      <c r="R70" s="61">
        <v>388</v>
      </c>
      <c r="S70" s="61">
        <v>2983</v>
      </c>
      <c r="T70" s="62" t="s">
        <v>200</v>
      </c>
      <c r="U70" s="62" t="s">
        <v>201</v>
      </c>
      <c r="V70" s="61">
        <v>1059</v>
      </c>
      <c r="W70" s="61">
        <v>445</v>
      </c>
      <c r="X70" s="62">
        <v>4487</v>
      </c>
      <c r="Y70" s="62">
        <v>62</v>
      </c>
      <c r="Z70" s="62">
        <v>28</v>
      </c>
      <c r="AA70" s="62">
        <v>73</v>
      </c>
      <c r="AB70" s="62">
        <v>34</v>
      </c>
      <c r="AC70" s="62" t="s">
        <v>42</v>
      </c>
      <c r="AD70" s="62" t="s">
        <v>42</v>
      </c>
      <c r="AE70" s="63">
        <v>225</v>
      </c>
      <c r="AF70" s="63">
        <v>2755</v>
      </c>
      <c r="AG70" s="63">
        <v>1083</v>
      </c>
      <c r="AH70" s="63">
        <v>3</v>
      </c>
      <c r="AI70" s="61">
        <v>11</v>
      </c>
      <c r="AJ70" s="61">
        <v>377</v>
      </c>
      <c r="AK70" s="61">
        <v>54</v>
      </c>
      <c r="AL70" s="61"/>
      <c r="AM70" s="61">
        <v>2983</v>
      </c>
      <c r="AN70" s="61">
        <v>388</v>
      </c>
      <c r="AO70" s="64">
        <v>21.13</v>
      </c>
      <c r="AP70" s="64">
        <v>7.309</v>
      </c>
      <c r="AQ70" s="64">
        <v>20.225</v>
      </c>
      <c r="AR70" s="64">
        <v>9.652</v>
      </c>
      <c r="AS70" s="9"/>
    </row>
    <row r="71" spans="1:45" ht="114.75">
      <c r="A71" s="56">
        <v>31</v>
      </c>
      <c r="B71" s="57" t="s">
        <v>202</v>
      </c>
      <c r="C71" s="58" t="s">
        <v>203</v>
      </c>
      <c r="D71" s="59">
        <v>11.42</v>
      </c>
      <c r="E71" s="59"/>
      <c r="F71" s="59">
        <v>11.42</v>
      </c>
      <c r="G71" s="59">
        <v>2028</v>
      </c>
      <c r="H71" s="59"/>
      <c r="I71" s="59">
        <v>2028</v>
      </c>
      <c r="J71" s="59"/>
      <c r="K71" s="60">
        <v>9.94</v>
      </c>
      <c r="L71" s="59">
        <v>20159</v>
      </c>
      <c r="M71" s="59"/>
      <c r="N71" s="59">
        <v>20159</v>
      </c>
      <c r="O71" s="61">
        <f>0+0</f>
        <v>0</v>
      </c>
      <c r="P71" s="62" t="s">
        <v>39</v>
      </c>
      <c r="Q71" s="61">
        <f>0+0</f>
        <v>0</v>
      </c>
      <c r="R71" s="61">
        <v>2028</v>
      </c>
      <c r="S71" s="61">
        <v>20159</v>
      </c>
      <c r="T71" s="62" t="s">
        <v>57</v>
      </c>
      <c r="U71" s="62" t="s">
        <v>58</v>
      </c>
      <c r="V71" s="61"/>
      <c r="W71" s="61"/>
      <c r="X71" s="62">
        <v>20159</v>
      </c>
      <c r="Y71" s="62"/>
      <c r="Z71" s="62"/>
      <c r="AA71" s="62">
        <v>0</v>
      </c>
      <c r="AB71" s="62">
        <v>0</v>
      </c>
      <c r="AC71" s="62" t="s">
        <v>42</v>
      </c>
      <c r="AD71" s="62" t="s">
        <v>42</v>
      </c>
      <c r="AE71" s="63"/>
      <c r="AF71" s="63">
        <v>20159</v>
      </c>
      <c r="AG71" s="63"/>
      <c r="AH71" s="63"/>
      <c r="AI71" s="61"/>
      <c r="AJ71" s="61">
        <v>2028</v>
      </c>
      <c r="AK71" s="61"/>
      <c r="AL71" s="61"/>
      <c r="AM71" s="61">
        <v>20159</v>
      </c>
      <c r="AN71" s="61">
        <v>2028</v>
      </c>
      <c r="AO71" s="64" t="s">
        <v>20</v>
      </c>
      <c r="AP71" s="64">
        <v>9.94</v>
      </c>
      <c r="AQ71" s="64" t="s">
        <v>20</v>
      </c>
      <c r="AR71" s="64" t="s">
        <v>20</v>
      </c>
      <c r="AS71" s="9"/>
    </row>
    <row r="72" spans="1:45" ht="204">
      <c r="A72" s="56">
        <v>32</v>
      </c>
      <c r="B72" s="57" t="s">
        <v>204</v>
      </c>
      <c r="C72" s="58">
        <v>0.312</v>
      </c>
      <c r="D72" s="59">
        <v>1531.69</v>
      </c>
      <c r="E72" s="59" t="s">
        <v>205</v>
      </c>
      <c r="F72" s="59" t="s">
        <v>206</v>
      </c>
      <c r="G72" s="59">
        <v>478</v>
      </c>
      <c r="H72" s="59" t="s">
        <v>207</v>
      </c>
      <c r="I72" s="59" t="s">
        <v>208</v>
      </c>
      <c r="J72" s="59" t="s">
        <v>209</v>
      </c>
      <c r="K72" s="60" t="s">
        <v>210</v>
      </c>
      <c r="L72" s="59">
        <v>3753</v>
      </c>
      <c r="M72" s="59" t="s">
        <v>211</v>
      </c>
      <c r="N72" s="59" t="s">
        <v>212</v>
      </c>
      <c r="O72" s="61">
        <f>39+36</f>
        <v>75</v>
      </c>
      <c r="P72" s="62" t="s">
        <v>39</v>
      </c>
      <c r="Q72" s="61">
        <f>831+729</f>
        <v>1560</v>
      </c>
      <c r="R72" s="61">
        <v>478</v>
      </c>
      <c r="S72" s="61">
        <v>3753</v>
      </c>
      <c r="T72" s="62" t="s">
        <v>113</v>
      </c>
      <c r="U72" s="62" t="s">
        <v>114</v>
      </c>
      <c r="V72" s="61">
        <v>1888</v>
      </c>
      <c r="W72" s="61">
        <v>1014</v>
      </c>
      <c r="X72" s="62">
        <v>6655</v>
      </c>
      <c r="Y72" s="62">
        <v>107</v>
      </c>
      <c r="Z72" s="62">
        <v>61</v>
      </c>
      <c r="AA72" s="62">
        <v>121</v>
      </c>
      <c r="AB72" s="62">
        <v>65</v>
      </c>
      <c r="AC72" s="62" t="s">
        <v>42</v>
      </c>
      <c r="AD72" s="62" t="s">
        <v>42</v>
      </c>
      <c r="AE72" s="63">
        <v>831</v>
      </c>
      <c r="AF72" s="63">
        <v>2891</v>
      </c>
      <c r="AG72" s="63">
        <v>729</v>
      </c>
      <c r="AH72" s="63">
        <v>31</v>
      </c>
      <c r="AI72" s="61">
        <v>39</v>
      </c>
      <c r="AJ72" s="61">
        <v>435</v>
      </c>
      <c r="AK72" s="61">
        <v>36</v>
      </c>
      <c r="AL72" s="61">
        <v>4</v>
      </c>
      <c r="AM72" s="61">
        <v>3753</v>
      </c>
      <c r="AN72" s="61">
        <v>478</v>
      </c>
      <c r="AO72" s="64">
        <v>21.13</v>
      </c>
      <c r="AP72" s="64">
        <v>6.649</v>
      </c>
      <c r="AQ72" s="64">
        <v>20.239</v>
      </c>
      <c r="AR72" s="64">
        <v>8.111</v>
      </c>
      <c r="AS72" s="9"/>
    </row>
    <row r="73" spans="1:45" ht="51">
      <c r="A73" s="56">
        <v>33</v>
      </c>
      <c r="B73" s="57" t="s">
        <v>213</v>
      </c>
      <c r="C73" s="58" t="s">
        <v>214</v>
      </c>
      <c r="D73" s="59">
        <v>55.26</v>
      </c>
      <c r="E73" s="59" t="s">
        <v>215</v>
      </c>
      <c r="F73" s="59"/>
      <c r="G73" s="59">
        <v>1897</v>
      </c>
      <c r="H73" s="59" t="s">
        <v>216</v>
      </c>
      <c r="I73" s="59"/>
      <c r="J73" s="59" t="s">
        <v>217</v>
      </c>
      <c r="K73" s="60"/>
      <c r="L73" s="59">
        <v>18436</v>
      </c>
      <c r="M73" s="59" t="s">
        <v>218</v>
      </c>
      <c r="N73" s="59"/>
      <c r="O73" s="61">
        <f>0+0</f>
        <v>0</v>
      </c>
      <c r="P73" s="62" t="s">
        <v>120</v>
      </c>
      <c r="Q73" s="61">
        <f>0+0</f>
        <v>0</v>
      </c>
      <c r="R73" s="61">
        <v>1897</v>
      </c>
      <c r="S73" s="61">
        <v>18436</v>
      </c>
      <c r="T73" s="62"/>
      <c r="U73" s="62"/>
      <c r="V73" s="61"/>
      <c r="W73" s="61"/>
      <c r="X73" s="62">
        <v>18436</v>
      </c>
      <c r="Y73" s="62"/>
      <c r="Z73" s="62"/>
      <c r="AA73" s="62">
        <v>121</v>
      </c>
      <c r="AB73" s="62">
        <v>65</v>
      </c>
      <c r="AC73" s="62" t="s">
        <v>42</v>
      </c>
      <c r="AD73" s="62" t="s">
        <v>42</v>
      </c>
      <c r="AE73" s="63"/>
      <c r="AF73" s="63"/>
      <c r="AG73" s="63"/>
      <c r="AH73" s="63">
        <v>18436</v>
      </c>
      <c r="AI73" s="61"/>
      <c r="AJ73" s="61"/>
      <c r="AK73" s="61"/>
      <c r="AL73" s="61">
        <v>1897</v>
      </c>
      <c r="AM73" s="61">
        <v>18436</v>
      </c>
      <c r="AN73" s="61">
        <v>1897</v>
      </c>
      <c r="AO73" s="64" t="s">
        <v>20</v>
      </c>
      <c r="AP73" s="64" t="s">
        <v>20</v>
      </c>
      <c r="AQ73" s="64" t="s">
        <v>20</v>
      </c>
      <c r="AR73" s="64">
        <v>9.721</v>
      </c>
      <c r="AS73" s="9"/>
    </row>
    <row r="74" spans="1:45" ht="127.5">
      <c r="A74" s="56">
        <v>34</v>
      </c>
      <c r="B74" s="57" t="s">
        <v>219</v>
      </c>
      <c r="C74" s="58">
        <v>0.3</v>
      </c>
      <c r="D74" s="59">
        <v>24545.99</v>
      </c>
      <c r="E74" s="59" t="s">
        <v>105</v>
      </c>
      <c r="F74" s="59" t="s">
        <v>106</v>
      </c>
      <c r="G74" s="59">
        <v>7364</v>
      </c>
      <c r="H74" s="59" t="s">
        <v>220</v>
      </c>
      <c r="I74" s="59" t="s">
        <v>221</v>
      </c>
      <c r="J74" s="59" t="s">
        <v>109</v>
      </c>
      <c r="K74" s="60" t="s">
        <v>110</v>
      </c>
      <c r="L74" s="59">
        <v>48526</v>
      </c>
      <c r="M74" s="59" t="s">
        <v>222</v>
      </c>
      <c r="N74" s="59" t="s">
        <v>223</v>
      </c>
      <c r="O74" s="61">
        <f>91+141</f>
        <v>232</v>
      </c>
      <c r="P74" s="62" t="s">
        <v>39</v>
      </c>
      <c r="Q74" s="61">
        <f>1914+2859</f>
        <v>4773</v>
      </c>
      <c r="R74" s="61">
        <v>7364</v>
      </c>
      <c r="S74" s="61">
        <v>48526</v>
      </c>
      <c r="T74" s="62" t="s">
        <v>113</v>
      </c>
      <c r="U74" s="62" t="s">
        <v>114</v>
      </c>
      <c r="V74" s="61">
        <v>5775</v>
      </c>
      <c r="W74" s="61">
        <v>3102</v>
      </c>
      <c r="X74" s="62">
        <v>57403</v>
      </c>
      <c r="Y74" s="62">
        <v>329</v>
      </c>
      <c r="Z74" s="62">
        <v>188</v>
      </c>
      <c r="AA74" s="62">
        <v>121</v>
      </c>
      <c r="AB74" s="62">
        <v>65</v>
      </c>
      <c r="AC74" s="62" t="s">
        <v>42</v>
      </c>
      <c r="AD74" s="62" t="s">
        <v>42</v>
      </c>
      <c r="AE74" s="63">
        <v>1914</v>
      </c>
      <c r="AF74" s="63">
        <v>8210</v>
      </c>
      <c r="AG74" s="63">
        <v>2859</v>
      </c>
      <c r="AH74" s="63">
        <v>38402</v>
      </c>
      <c r="AI74" s="61">
        <v>91</v>
      </c>
      <c r="AJ74" s="61">
        <v>1127</v>
      </c>
      <c r="AK74" s="61">
        <v>141</v>
      </c>
      <c r="AL74" s="61">
        <v>6146</v>
      </c>
      <c r="AM74" s="61">
        <v>48526</v>
      </c>
      <c r="AN74" s="61">
        <v>7364</v>
      </c>
      <c r="AO74" s="64">
        <v>21.13</v>
      </c>
      <c r="AP74" s="64">
        <v>7.285</v>
      </c>
      <c r="AQ74" s="64">
        <v>20.234</v>
      </c>
      <c r="AR74" s="64">
        <v>6.248</v>
      </c>
      <c r="AS74" s="9"/>
    </row>
    <row r="75" spans="1:45" ht="51">
      <c r="A75" s="56">
        <v>35</v>
      </c>
      <c r="B75" s="57" t="s">
        <v>115</v>
      </c>
      <c r="C75" s="58">
        <v>-4.5</v>
      </c>
      <c r="D75" s="59">
        <v>118.6</v>
      </c>
      <c r="E75" s="59" t="s">
        <v>116</v>
      </c>
      <c r="F75" s="59"/>
      <c r="G75" s="59">
        <v>-534</v>
      </c>
      <c r="H75" s="59" t="s">
        <v>224</v>
      </c>
      <c r="I75" s="59"/>
      <c r="J75" s="59" t="s">
        <v>118</v>
      </c>
      <c r="K75" s="60"/>
      <c r="L75" s="59">
        <v>-4034</v>
      </c>
      <c r="M75" s="59" t="s">
        <v>225</v>
      </c>
      <c r="N75" s="59"/>
      <c r="O75" s="61">
        <f>0+0</f>
        <v>0</v>
      </c>
      <c r="P75" s="62" t="s">
        <v>120</v>
      </c>
      <c r="Q75" s="61">
        <f>0+0</f>
        <v>0</v>
      </c>
      <c r="R75" s="61">
        <v>-534</v>
      </c>
      <c r="S75" s="61">
        <v>-4034</v>
      </c>
      <c r="T75" s="62"/>
      <c r="U75" s="62"/>
      <c r="V75" s="61"/>
      <c r="W75" s="61"/>
      <c r="X75" s="62">
        <v>-4034</v>
      </c>
      <c r="Y75" s="62"/>
      <c r="Z75" s="62"/>
      <c r="AA75" s="62">
        <v>0</v>
      </c>
      <c r="AB75" s="62">
        <v>0</v>
      </c>
      <c r="AC75" s="62" t="s">
        <v>42</v>
      </c>
      <c r="AD75" s="62" t="s">
        <v>42</v>
      </c>
      <c r="AE75" s="63"/>
      <c r="AF75" s="63"/>
      <c r="AG75" s="63"/>
      <c r="AH75" s="63">
        <v>-4034</v>
      </c>
      <c r="AI75" s="61"/>
      <c r="AJ75" s="61"/>
      <c r="AK75" s="61"/>
      <c r="AL75" s="61">
        <v>-534</v>
      </c>
      <c r="AM75" s="61">
        <v>-4034</v>
      </c>
      <c r="AN75" s="61">
        <v>-534</v>
      </c>
      <c r="AO75" s="64" t="s">
        <v>20</v>
      </c>
      <c r="AP75" s="64" t="s">
        <v>20</v>
      </c>
      <c r="AQ75" s="64" t="s">
        <v>20</v>
      </c>
      <c r="AR75" s="64">
        <v>7.558</v>
      </c>
      <c r="AS75" s="9"/>
    </row>
    <row r="76" spans="1:45" ht="51">
      <c r="A76" s="56">
        <v>36</v>
      </c>
      <c r="B76" s="57" t="s">
        <v>121</v>
      </c>
      <c r="C76" s="58">
        <v>4.5</v>
      </c>
      <c r="D76" s="59">
        <v>98.6</v>
      </c>
      <c r="E76" s="59" t="s">
        <v>122</v>
      </c>
      <c r="F76" s="59"/>
      <c r="G76" s="59">
        <v>444</v>
      </c>
      <c r="H76" s="59" t="s">
        <v>226</v>
      </c>
      <c r="I76" s="59"/>
      <c r="J76" s="59" t="s">
        <v>124</v>
      </c>
      <c r="K76" s="60"/>
      <c r="L76" s="59">
        <v>2714</v>
      </c>
      <c r="M76" s="59" t="s">
        <v>227</v>
      </c>
      <c r="N76" s="59"/>
      <c r="O76" s="61">
        <f>0+0</f>
        <v>0</v>
      </c>
      <c r="P76" s="62" t="s">
        <v>120</v>
      </c>
      <c r="Q76" s="61">
        <f>0+0</f>
        <v>0</v>
      </c>
      <c r="R76" s="61">
        <v>444</v>
      </c>
      <c r="S76" s="61">
        <v>2714</v>
      </c>
      <c r="T76" s="62"/>
      <c r="U76" s="62"/>
      <c r="V76" s="61"/>
      <c r="W76" s="61"/>
      <c r="X76" s="62">
        <v>2714</v>
      </c>
      <c r="Y76" s="62"/>
      <c r="Z76" s="62"/>
      <c r="AA76" s="62">
        <v>0</v>
      </c>
      <c r="AB76" s="62">
        <v>0</v>
      </c>
      <c r="AC76" s="62" t="s">
        <v>42</v>
      </c>
      <c r="AD76" s="62" t="s">
        <v>42</v>
      </c>
      <c r="AE76" s="63"/>
      <c r="AF76" s="63"/>
      <c r="AG76" s="63"/>
      <c r="AH76" s="63">
        <v>2714</v>
      </c>
      <c r="AI76" s="61"/>
      <c r="AJ76" s="61"/>
      <c r="AK76" s="61"/>
      <c r="AL76" s="61">
        <v>444</v>
      </c>
      <c r="AM76" s="61">
        <v>2714</v>
      </c>
      <c r="AN76" s="61">
        <v>444</v>
      </c>
      <c r="AO76" s="64" t="s">
        <v>20</v>
      </c>
      <c r="AP76" s="64" t="s">
        <v>20</v>
      </c>
      <c r="AQ76" s="64" t="s">
        <v>20</v>
      </c>
      <c r="AR76" s="64">
        <v>6.116</v>
      </c>
      <c r="AS76" s="9"/>
    </row>
    <row r="77" spans="1:45" ht="204">
      <c r="A77" s="56">
        <v>37</v>
      </c>
      <c r="B77" s="57" t="s">
        <v>228</v>
      </c>
      <c r="C77" s="58">
        <v>0.3</v>
      </c>
      <c r="D77" s="59">
        <v>4442.31</v>
      </c>
      <c r="E77" s="59" t="s">
        <v>127</v>
      </c>
      <c r="F77" s="59" t="s">
        <v>128</v>
      </c>
      <c r="G77" s="59">
        <v>1333</v>
      </c>
      <c r="H77" s="59" t="s">
        <v>229</v>
      </c>
      <c r="I77" s="59" t="s">
        <v>230</v>
      </c>
      <c r="J77" s="59" t="s">
        <v>131</v>
      </c>
      <c r="K77" s="60" t="s">
        <v>132</v>
      </c>
      <c r="L77" s="59">
        <v>8396</v>
      </c>
      <c r="M77" s="59" t="s">
        <v>231</v>
      </c>
      <c r="N77" s="59" t="s">
        <v>232</v>
      </c>
      <c r="O77" s="61">
        <f>0+27</f>
        <v>27</v>
      </c>
      <c r="P77" s="62" t="s">
        <v>39</v>
      </c>
      <c r="Q77" s="61">
        <f>0+549</f>
        <v>549</v>
      </c>
      <c r="R77" s="61">
        <v>1333</v>
      </c>
      <c r="S77" s="61">
        <v>8396</v>
      </c>
      <c r="T77" s="62" t="s">
        <v>113</v>
      </c>
      <c r="U77" s="62" t="s">
        <v>114</v>
      </c>
      <c r="V77" s="61">
        <v>664</v>
      </c>
      <c r="W77" s="61">
        <v>357</v>
      </c>
      <c r="X77" s="62">
        <v>9417</v>
      </c>
      <c r="Y77" s="62">
        <v>38</v>
      </c>
      <c r="Z77" s="62">
        <v>22</v>
      </c>
      <c r="AA77" s="62">
        <v>121</v>
      </c>
      <c r="AB77" s="62">
        <v>65</v>
      </c>
      <c r="AC77" s="62" t="s">
        <v>42</v>
      </c>
      <c r="AD77" s="62" t="s">
        <v>42</v>
      </c>
      <c r="AE77" s="63"/>
      <c r="AF77" s="63">
        <v>1558</v>
      </c>
      <c r="AG77" s="63">
        <v>549</v>
      </c>
      <c r="AH77" s="63">
        <v>6838</v>
      </c>
      <c r="AI77" s="61"/>
      <c r="AJ77" s="61">
        <v>215</v>
      </c>
      <c r="AK77" s="61">
        <v>27</v>
      </c>
      <c r="AL77" s="61">
        <v>1118</v>
      </c>
      <c r="AM77" s="61">
        <v>8396</v>
      </c>
      <c r="AN77" s="61">
        <v>1333</v>
      </c>
      <c r="AO77" s="64">
        <v>21.13</v>
      </c>
      <c r="AP77" s="64">
        <v>7.261</v>
      </c>
      <c r="AQ77" s="64">
        <v>20.221</v>
      </c>
      <c r="AR77" s="64">
        <v>6.116</v>
      </c>
      <c r="AS77" s="9"/>
    </row>
    <row r="78" spans="1:45" ht="89.25">
      <c r="A78" s="56">
        <v>38</v>
      </c>
      <c r="B78" s="57" t="s">
        <v>233</v>
      </c>
      <c r="C78" s="58">
        <v>0.4992</v>
      </c>
      <c r="D78" s="59">
        <v>4412.47</v>
      </c>
      <c r="E78" s="59" t="s">
        <v>136</v>
      </c>
      <c r="F78" s="59" t="s">
        <v>137</v>
      </c>
      <c r="G78" s="59">
        <v>2202</v>
      </c>
      <c r="H78" s="59" t="s">
        <v>234</v>
      </c>
      <c r="I78" s="59" t="s">
        <v>235</v>
      </c>
      <c r="J78" s="59" t="s">
        <v>140</v>
      </c>
      <c r="K78" s="60" t="s">
        <v>141</v>
      </c>
      <c r="L78" s="59">
        <v>16629</v>
      </c>
      <c r="M78" s="59" t="s">
        <v>236</v>
      </c>
      <c r="N78" s="59" t="s">
        <v>237</v>
      </c>
      <c r="O78" s="61">
        <f>321+5</f>
        <v>326</v>
      </c>
      <c r="P78" s="62" t="s">
        <v>39</v>
      </c>
      <c r="Q78" s="61">
        <f>6789+97</f>
        <v>6886</v>
      </c>
      <c r="R78" s="61">
        <v>2202</v>
      </c>
      <c r="S78" s="61">
        <v>16629</v>
      </c>
      <c r="T78" s="62" t="s">
        <v>113</v>
      </c>
      <c r="U78" s="62" t="s">
        <v>114</v>
      </c>
      <c r="V78" s="61">
        <v>8332</v>
      </c>
      <c r="W78" s="61">
        <v>4476</v>
      </c>
      <c r="X78" s="62">
        <v>29437</v>
      </c>
      <c r="Y78" s="62">
        <v>463</v>
      </c>
      <c r="Z78" s="62">
        <v>264</v>
      </c>
      <c r="AA78" s="62">
        <v>121</v>
      </c>
      <c r="AB78" s="62">
        <v>65</v>
      </c>
      <c r="AC78" s="62" t="s">
        <v>42</v>
      </c>
      <c r="AD78" s="62" t="s">
        <v>42</v>
      </c>
      <c r="AE78" s="63">
        <v>6789</v>
      </c>
      <c r="AF78" s="63">
        <v>291</v>
      </c>
      <c r="AG78" s="63">
        <v>97</v>
      </c>
      <c r="AH78" s="63">
        <v>9549</v>
      </c>
      <c r="AI78" s="61">
        <v>321</v>
      </c>
      <c r="AJ78" s="61">
        <v>39</v>
      </c>
      <c r="AK78" s="61">
        <v>5</v>
      </c>
      <c r="AL78" s="61">
        <v>1842</v>
      </c>
      <c r="AM78" s="61">
        <v>16629</v>
      </c>
      <c r="AN78" s="61">
        <v>2202</v>
      </c>
      <c r="AO78" s="64">
        <v>21.13</v>
      </c>
      <c r="AP78" s="64">
        <v>7.408</v>
      </c>
      <c r="AQ78" s="64">
        <v>20.232</v>
      </c>
      <c r="AR78" s="64">
        <v>5.184</v>
      </c>
      <c r="AS78" s="9"/>
    </row>
    <row r="79" spans="1:45" ht="38.25">
      <c r="A79" s="56">
        <v>39</v>
      </c>
      <c r="B79" s="57" t="s">
        <v>144</v>
      </c>
      <c r="C79" s="58">
        <v>-2.94528</v>
      </c>
      <c r="D79" s="59">
        <v>592.76</v>
      </c>
      <c r="E79" s="59" t="s">
        <v>145</v>
      </c>
      <c r="F79" s="59"/>
      <c r="G79" s="59">
        <v>-1746</v>
      </c>
      <c r="H79" s="59" t="s">
        <v>238</v>
      </c>
      <c r="I79" s="59"/>
      <c r="J79" s="59" t="s">
        <v>147</v>
      </c>
      <c r="K79" s="60"/>
      <c r="L79" s="59">
        <v>-9267</v>
      </c>
      <c r="M79" s="59" t="s">
        <v>239</v>
      </c>
      <c r="N79" s="59"/>
      <c r="O79" s="61">
        <f>0+0</f>
        <v>0</v>
      </c>
      <c r="P79" s="62" t="s">
        <v>120</v>
      </c>
      <c r="Q79" s="61">
        <f>0+0</f>
        <v>0</v>
      </c>
      <c r="R79" s="61">
        <v>-1746</v>
      </c>
      <c r="S79" s="61">
        <v>-9267</v>
      </c>
      <c r="T79" s="62"/>
      <c r="U79" s="62"/>
      <c r="V79" s="61"/>
      <c r="W79" s="61"/>
      <c r="X79" s="62">
        <v>-9267</v>
      </c>
      <c r="Y79" s="62"/>
      <c r="Z79" s="62"/>
      <c r="AA79" s="62">
        <v>0</v>
      </c>
      <c r="AB79" s="62">
        <v>0</v>
      </c>
      <c r="AC79" s="62" t="s">
        <v>42</v>
      </c>
      <c r="AD79" s="62" t="s">
        <v>42</v>
      </c>
      <c r="AE79" s="63"/>
      <c r="AF79" s="63"/>
      <c r="AG79" s="63"/>
      <c r="AH79" s="63">
        <v>-9267</v>
      </c>
      <c r="AI79" s="61"/>
      <c r="AJ79" s="61"/>
      <c r="AK79" s="61"/>
      <c r="AL79" s="61">
        <v>-1746</v>
      </c>
      <c r="AM79" s="61">
        <v>-9267</v>
      </c>
      <c r="AN79" s="61">
        <v>-1746</v>
      </c>
      <c r="AO79" s="64" t="s">
        <v>20</v>
      </c>
      <c r="AP79" s="64" t="s">
        <v>20</v>
      </c>
      <c r="AQ79" s="64" t="s">
        <v>20</v>
      </c>
      <c r="AR79" s="64">
        <v>5.308</v>
      </c>
      <c r="AS79" s="9"/>
    </row>
    <row r="80" spans="1:45" ht="38.25">
      <c r="A80" s="56">
        <v>40</v>
      </c>
      <c r="B80" s="57" t="s">
        <v>149</v>
      </c>
      <c r="C80" s="58">
        <v>2.8</v>
      </c>
      <c r="D80" s="59">
        <v>560</v>
      </c>
      <c r="E80" s="59" t="s">
        <v>150</v>
      </c>
      <c r="F80" s="59"/>
      <c r="G80" s="59">
        <v>1568</v>
      </c>
      <c r="H80" s="59" t="s">
        <v>240</v>
      </c>
      <c r="I80" s="59"/>
      <c r="J80" s="59" t="s">
        <v>152</v>
      </c>
      <c r="K80" s="60"/>
      <c r="L80" s="59">
        <v>7689</v>
      </c>
      <c r="M80" s="59" t="s">
        <v>241</v>
      </c>
      <c r="N80" s="59"/>
      <c r="O80" s="61">
        <f>0+0</f>
        <v>0</v>
      </c>
      <c r="P80" s="62" t="s">
        <v>120</v>
      </c>
      <c r="Q80" s="61">
        <f>0+0</f>
        <v>0</v>
      </c>
      <c r="R80" s="61">
        <v>1568</v>
      </c>
      <c r="S80" s="61">
        <v>7689</v>
      </c>
      <c r="T80" s="62"/>
      <c r="U80" s="62"/>
      <c r="V80" s="61"/>
      <c r="W80" s="61"/>
      <c r="X80" s="62">
        <v>7689</v>
      </c>
      <c r="Y80" s="62"/>
      <c r="Z80" s="62"/>
      <c r="AA80" s="62">
        <v>0</v>
      </c>
      <c r="AB80" s="62">
        <v>0</v>
      </c>
      <c r="AC80" s="62" t="s">
        <v>42</v>
      </c>
      <c r="AD80" s="62" t="s">
        <v>42</v>
      </c>
      <c r="AE80" s="63"/>
      <c r="AF80" s="63"/>
      <c r="AG80" s="63"/>
      <c r="AH80" s="63">
        <v>7689</v>
      </c>
      <c r="AI80" s="61"/>
      <c r="AJ80" s="61"/>
      <c r="AK80" s="61"/>
      <c r="AL80" s="61">
        <v>1568</v>
      </c>
      <c r="AM80" s="61">
        <v>7689</v>
      </c>
      <c r="AN80" s="61">
        <v>1568</v>
      </c>
      <c r="AO80" s="64" t="s">
        <v>20</v>
      </c>
      <c r="AP80" s="64" t="s">
        <v>20</v>
      </c>
      <c r="AQ80" s="64" t="s">
        <v>20</v>
      </c>
      <c r="AR80" s="64">
        <v>4.904</v>
      </c>
      <c r="AS80" s="9"/>
    </row>
    <row r="81" spans="1:45" ht="38.25">
      <c r="A81" s="56">
        <v>41</v>
      </c>
      <c r="B81" s="57" t="s">
        <v>154</v>
      </c>
      <c r="C81" s="58">
        <v>64</v>
      </c>
      <c r="D81" s="59">
        <v>33.26</v>
      </c>
      <c r="E81" s="59" t="s">
        <v>155</v>
      </c>
      <c r="F81" s="59"/>
      <c r="G81" s="59">
        <v>2129</v>
      </c>
      <c r="H81" s="59" t="s">
        <v>242</v>
      </c>
      <c r="I81" s="59"/>
      <c r="J81" s="59" t="s">
        <v>81</v>
      </c>
      <c r="K81" s="60"/>
      <c r="L81" s="59">
        <v>15880</v>
      </c>
      <c r="M81" s="59" t="s">
        <v>243</v>
      </c>
      <c r="N81" s="59"/>
      <c r="O81" s="61">
        <f>0+0</f>
        <v>0</v>
      </c>
      <c r="P81" s="62" t="s">
        <v>120</v>
      </c>
      <c r="Q81" s="61">
        <f>0+0</f>
        <v>0</v>
      </c>
      <c r="R81" s="61">
        <v>2129</v>
      </c>
      <c r="S81" s="61">
        <v>15880</v>
      </c>
      <c r="T81" s="62"/>
      <c r="U81" s="62"/>
      <c r="V81" s="61"/>
      <c r="W81" s="61"/>
      <c r="X81" s="62">
        <v>15880</v>
      </c>
      <c r="Y81" s="62"/>
      <c r="Z81" s="62"/>
      <c r="AA81" s="62">
        <v>0</v>
      </c>
      <c r="AB81" s="62">
        <v>0</v>
      </c>
      <c r="AC81" s="62" t="s">
        <v>42</v>
      </c>
      <c r="AD81" s="62" t="s">
        <v>42</v>
      </c>
      <c r="AE81" s="63"/>
      <c r="AF81" s="63"/>
      <c r="AG81" s="63"/>
      <c r="AH81" s="63">
        <v>15880</v>
      </c>
      <c r="AI81" s="61"/>
      <c r="AJ81" s="61"/>
      <c r="AK81" s="61"/>
      <c r="AL81" s="61">
        <v>2129</v>
      </c>
      <c r="AM81" s="61">
        <v>15880</v>
      </c>
      <c r="AN81" s="61">
        <v>2129</v>
      </c>
      <c r="AO81" s="64" t="s">
        <v>20</v>
      </c>
      <c r="AP81" s="64" t="s">
        <v>20</v>
      </c>
      <c r="AQ81" s="64" t="s">
        <v>20</v>
      </c>
      <c r="AR81" s="64">
        <v>7.46</v>
      </c>
      <c r="AS81" s="9"/>
    </row>
    <row r="82" spans="1:45" ht="76.5">
      <c r="A82" s="56">
        <v>42</v>
      </c>
      <c r="B82" s="57" t="s">
        <v>244</v>
      </c>
      <c r="C82" s="58" t="s">
        <v>245</v>
      </c>
      <c r="D82" s="59">
        <v>39.1</v>
      </c>
      <c r="E82" s="59"/>
      <c r="F82" s="59" t="s">
        <v>159</v>
      </c>
      <c r="G82" s="59">
        <v>9</v>
      </c>
      <c r="H82" s="59"/>
      <c r="I82" s="59" t="s">
        <v>246</v>
      </c>
      <c r="J82" s="59">
        <v>21.13</v>
      </c>
      <c r="K82" s="60" t="s">
        <v>160</v>
      </c>
      <c r="L82" s="59">
        <v>76</v>
      </c>
      <c r="M82" s="59"/>
      <c r="N82" s="59" t="s">
        <v>247</v>
      </c>
      <c r="O82" s="61">
        <f>0+2</f>
        <v>2</v>
      </c>
      <c r="P82" s="62" t="s">
        <v>39</v>
      </c>
      <c r="Q82" s="61">
        <f>0+35</f>
        <v>35</v>
      </c>
      <c r="R82" s="61">
        <v>9</v>
      </c>
      <c r="S82" s="61">
        <v>76</v>
      </c>
      <c r="T82" s="62" t="s">
        <v>113</v>
      </c>
      <c r="U82" s="62" t="s">
        <v>114</v>
      </c>
      <c r="V82" s="61">
        <v>42</v>
      </c>
      <c r="W82" s="61">
        <v>23</v>
      </c>
      <c r="X82" s="62">
        <v>141</v>
      </c>
      <c r="Y82" s="62">
        <v>3</v>
      </c>
      <c r="Z82" s="62">
        <v>2</v>
      </c>
      <c r="AA82" s="62">
        <v>121</v>
      </c>
      <c r="AB82" s="62">
        <v>65</v>
      </c>
      <c r="AC82" s="62" t="s">
        <v>42</v>
      </c>
      <c r="AD82" s="62" t="s">
        <v>42</v>
      </c>
      <c r="AE82" s="63"/>
      <c r="AF82" s="63">
        <v>76</v>
      </c>
      <c r="AG82" s="63">
        <v>35</v>
      </c>
      <c r="AH82" s="63"/>
      <c r="AI82" s="61"/>
      <c r="AJ82" s="61">
        <v>9</v>
      </c>
      <c r="AK82" s="61">
        <v>2</v>
      </c>
      <c r="AL82" s="61"/>
      <c r="AM82" s="61">
        <v>76</v>
      </c>
      <c r="AN82" s="61">
        <v>9</v>
      </c>
      <c r="AO82" s="64">
        <v>21.13</v>
      </c>
      <c r="AP82" s="64">
        <v>8.151</v>
      </c>
      <c r="AQ82" s="64">
        <v>20.197</v>
      </c>
      <c r="AR82" s="64" t="s">
        <v>20</v>
      </c>
      <c r="AS82" s="9"/>
    </row>
    <row r="83" spans="1:45" ht="51">
      <c r="A83" s="56">
        <v>43</v>
      </c>
      <c r="B83" s="57" t="s">
        <v>162</v>
      </c>
      <c r="C83" s="58">
        <v>0.2472</v>
      </c>
      <c r="D83" s="59">
        <v>1487.6</v>
      </c>
      <c r="E83" s="59" t="s">
        <v>163</v>
      </c>
      <c r="F83" s="59"/>
      <c r="G83" s="59">
        <v>368</v>
      </c>
      <c r="H83" s="59" t="s">
        <v>248</v>
      </c>
      <c r="I83" s="59"/>
      <c r="J83" s="59" t="s">
        <v>165</v>
      </c>
      <c r="K83" s="60"/>
      <c r="L83" s="59">
        <v>4247</v>
      </c>
      <c r="M83" s="59" t="s">
        <v>249</v>
      </c>
      <c r="N83" s="59"/>
      <c r="O83" s="61">
        <f>0+0</f>
        <v>0</v>
      </c>
      <c r="P83" s="62" t="s">
        <v>120</v>
      </c>
      <c r="Q83" s="61">
        <f>0+0</f>
        <v>0</v>
      </c>
      <c r="R83" s="61">
        <v>368</v>
      </c>
      <c r="S83" s="61">
        <v>4247</v>
      </c>
      <c r="T83" s="62"/>
      <c r="U83" s="62"/>
      <c r="V83" s="61"/>
      <c r="W83" s="61"/>
      <c r="X83" s="62">
        <v>4247</v>
      </c>
      <c r="Y83" s="62"/>
      <c r="Z83" s="62"/>
      <c r="AA83" s="62">
        <v>0</v>
      </c>
      <c r="AB83" s="62">
        <v>0</v>
      </c>
      <c r="AC83" s="62" t="s">
        <v>42</v>
      </c>
      <c r="AD83" s="62" t="s">
        <v>42</v>
      </c>
      <c r="AE83" s="63"/>
      <c r="AF83" s="63"/>
      <c r="AG83" s="63"/>
      <c r="AH83" s="63">
        <v>4247</v>
      </c>
      <c r="AI83" s="61"/>
      <c r="AJ83" s="61"/>
      <c r="AK83" s="61"/>
      <c r="AL83" s="61">
        <v>368</v>
      </c>
      <c r="AM83" s="61">
        <v>4247</v>
      </c>
      <c r="AN83" s="61">
        <v>368</v>
      </c>
      <c r="AO83" s="64" t="s">
        <v>20</v>
      </c>
      <c r="AP83" s="64" t="s">
        <v>20</v>
      </c>
      <c r="AQ83" s="64" t="s">
        <v>20</v>
      </c>
      <c r="AR83" s="64">
        <v>11.549</v>
      </c>
      <c r="AS83" s="9"/>
    </row>
    <row r="84" spans="1:45" ht="114.75">
      <c r="A84" s="56">
        <v>44</v>
      </c>
      <c r="B84" s="57" t="s">
        <v>250</v>
      </c>
      <c r="C84" s="58">
        <v>0.3</v>
      </c>
      <c r="D84" s="59">
        <v>2984.49</v>
      </c>
      <c r="E84" s="59" t="s">
        <v>168</v>
      </c>
      <c r="F84" s="59" t="s">
        <v>169</v>
      </c>
      <c r="G84" s="59">
        <v>896</v>
      </c>
      <c r="H84" s="59" t="s">
        <v>251</v>
      </c>
      <c r="I84" s="59" t="s">
        <v>252</v>
      </c>
      <c r="J84" s="59" t="s">
        <v>172</v>
      </c>
      <c r="K84" s="60" t="s">
        <v>173</v>
      </c>
      <c r="L84" s="59">
        <v>7479</v>
      </c>
      <c r="M84" s="59" t="s">
        <v>253</v>
      </c>
      <c r="N84" s="59" t="s">
        <v>254</v>
      </c>
      <c r="O84" s="61">
        <f>111+79</f>
        <v>190</v>
      </c>
      <c r="P84" s="62" t="s">
        <v>39</v>
      </c>
      <c r="Q84" s="61">
        <f>2336+1598</f>
        <v>3934</v>
      </c>
      <c r="R84" s="61">
        <v>896</v>
      </c>
      <c r="S84" s="61">
        <v>7479</v>
      </c>
      <c r="T84" s="62" t="s">
        <v>113</v>
      </c>
      <c r="U84" s="62" t="s">
        <v>114</v>
      </c>
      <c r="V84" s="61">
        <v>4760</v>
      </c>
      <c r="W84" s="61">
        <v>2557</v>
      </c>
      <c r="X84" s="62">
        <v>14796</v>
      </c>
      <c r="Y84" s="62">
        <v>270</v>
      </c>
      <c r="Z84" s="62">
        <v>154</v>
      </c>
      <c r="AA84" s="62">
        <v>121</v>
      </c>
      <c r="AB84" s="62">
        <v>65</v>
      </c>
      <c r="AC84" s="62" t="s">
        <v>42</v>
      </c>
      <c r="AD84" s="62" t="s">
        <v>42</v>
      </c>
      <c r="AE84" s="63">
        <v>2336</v>
      </c>
      <c r="AF84" s="63">
        <v>4832</v>
      </c>
      <c r="AG84" s="63">
        <v>1598</v>
      </c>
      <c r="AH84" s="63">
        <v>311</v>
      </c>
      <c r="AI84" s="61">
        <v>111</v>
      </c>
      <c r="AJ84" s="61">
        <v>716</v>
      </c>
      <c r="AK84" s="61">
        <v>79</v>
      </c>
      <c r="AL84" s="61">
        <v>69</v>
      </c>
      <c r="AM84" s="61">
        <v>7479</v>
      </c>
      <c r="AN84" s="61">
        <v>896</v>
      </c>
      <c r="AO84" s="64">
        <v>21.13</v>
      </c>
      <c r="AP84" s="64">
        <v>6.752</v>
      </c>
      <c r="AQ84" s="64">
        <v>20.247</v>
      </c>
      <c r="AR84" s="64">
        <v>4.494</v>
      </c>
      <c r="AS84" s="9"/>
    </row>
    <row r="85" spans="1:45" ht="191.25">
      <c r="A85" s="56">
        <v>45</v>
      </c>
      <c r="B85" s="57" t="s">
        <v>255</v>
      </c>
      <c r="C85" s="58">
        <v>0.3</v>
      </c>
      <c r="D85" s="59">
        <v>15.88</v>
      </c>
      <c r="E85" s="59">
        <v>3.48</v>
      </c>
      <c r="F85" s="59">
        <v>12.4</v>
      </c>
      <c r="G85" s="59">
        <v>5</v>
      </c>
      <c r="H85" s="59">
        <v>1</v>
      </c>
      <c r="I85" s="59">
        <v>4</v>
      </c>
      <c r="J85" s="59">
        <v>21.13</v>
      </c>
      <c r="K85" s="60">
        <v>0.732</v>
      </c>
      <c r="L85" s="59">
        <v>25</v>
      </c>
      <c r="M85" s="59">
        <v>22</v>
      </c>
      <c r="N85" s="59">
        <v>3</v>
      </c>
      <c r="O85" s="61">
        <f>1+0</f>
        <v>1</v>
      </c>
      <c r="P85" s="62" t="s">
        <v>39</v>
      </c>
      <c r="Q85" s="61">
        <f>22+0</f>
        <v>22</v>
      </c>
      <c r="R85" s="61">
        <v>5</v>
      </c>
      <c r="S85" s="61">
        <v>25</v>
      </c>
      <c r="T85" s="62" t="s">
        <v>113</v>
      </c>
      <c r="U85" s="62" t="s">
        <v>114</v>
      </c>
      <c r="V85" s="61">
        <v>27</v>
      </c>
      <c r="W85" s="61">
        <v>14</v>
      </c>
      <c r="X85" s="62">
        <v>66</v>
      </c>
      <c r="Y85" s="62">
        <v>1</v>
      </c>
      <c r="Z85" s="62">
        <v>1</v>
      </c>
      <c r="AA85" s="62">
        <v>121</v>
      </c>
      <c r="AB85" s="62">
        <v>65</v>
      </c>
      <c r="AC85" s="62" t="s">
        <v>42</v>
      </c>
      <c r="AD85" s="62" t="s">
        <v>42</v>
      </c>
      <c r="AE85" s="63">
        <v>22</v>
      </c>
      <c r="AF85" s="63">
        <v>3</v>
      </c>
      <c r="AG85" s="63"/>
      <c r="AH85" s="63"/>
      <c r="AI85" s="61">
        <v>1</v>
      </c>
      <c r="AJ85" s="61">
        <v>4</v>
      </c>
      <c r="AK85" s="61"/>
      <c r="AL85" s="61"/>
      <c r="AM85" s="61">
        <v>25</v>
      </c>
      <c r="AN85" s="61">
        <v>5</v>
      </c>
      <c r="AO85" s="64">
        <v>21.13</v>
      </c>
      <c r="AP85" s="64">
        <v>0.732</v>
      </c>
      <c r="AQ85" s="64" t="s">
        <v>20</v>
      </c>
      <c r="AR85" s="64" t="s">
        <v>20</v>
      </c>
      <c r="AS85" s="9"/>
    </row>
    <row r="86" spans="1:45" ht="51">
      <c r="A86" s="56">
        <v>46</v>
      </c>
      <c r="B86" s="57" t="s">
        <v>177</v>
      </c>
      <c r="C86" s="58">
        <v>0.0049</v>
      </c>
      <c r="D86" s="59">
        <v>1690</v>
      </c>
      <c r="E86" s="59" t="s">
        <v>178</v>
      </c>
      <c r="F86" s="59"/>
      <c r="G86" s="59">
        <v>8</v>
      </c>
      <c r="H86" s="59" t="s">
        <v>256</v>
      </c>
      <c r="I86" s="59"/>
      <c r="J86" s="59" t="s">
        <v>180</v>
      </c>
      <c r="K86" s="60"/>
      <c r="L86" s="59">
        <v>77</v>
      </c>
      <c r="M86" s="59" t="s">
        <v>257</v>
      </c>
      <c r="N86" s="59"/>
      <c r="O86" s="61">
        <f>0+0</f>
        <v>0</v>
      </c>
      <c r="P86" s="62" t="s">
        <v>120</v>
      </c>
      <c r="Q86" s="61">
        <f>0+0</f>
        <v>0</v>
      </c>
      <c r="R86" s="61">
        <v>8</v>
      </c>
      <c r="S86" s="61">
        <v>77</v>
      </c>
      <c r="T86" s="62"/>
      <c r="U86" s="62"/>
      <c r="V86" s="61"/>
      <c r="W86" s="61"/>
      <c r="X86" s="62">
        <v>77</v>
      </c>
      <c r="Y86" s="62"/>
      <c r="Z86" s="62"/>
      <c r="AA86" s="62">
        <v>0</v>
      </c>
      <c r="AB86" s="62">
        <v>0</v>
      </c>
      <c r="AC86" s="62" t="s">
        <v>42</v>
      </c>
      <c r="AD86" s="62" t="s">
        <v>42</v>
      </c>
      <c r="AE86" s="63"/>
      <c r="AF86" s="63"/>
      <c r="AG86" s="63"/>
      <c r="AH86" s="63">
        <v>77</v>
      </c>
      <c r="AI86" s="61"/>
      <c r="AJ86" s="61"/>
      <c r="AK86" s="61"/>
      <c r="AL86" s="61">
        <v>8</v>
      </c>
      <c r="AM86" s="61">
        <v>77</v>
      </c>
      <c r="AN86" s="61">
        <v>8</v>
      </c>
      <c r="AO86" s="64" t="s">
        <v>20</v>
      </c>
      <c r="AP86" s="64" t="s">
        <v>20</v>
      </c>
      <c r="AQ86" s="64" t="s">
        <v>20</v>
      </c>
      <c r="AR86" s="64">
        <v>9.245</v>
      </c>
      <c r="AS86" s="9"/>
    </row>
    <row r="87" spans="1:45" ht="76.5">
      <c r="A87" s="56">
        <v>47</v>
      </c>
      <c r="B87" s="57" t="s">
        <v>182</v>
      </c>
      <c r="C87" s="58">
        <v>43.5</v>
      </c>
      <c r="D87" s="59">
        <v>512.4</v>
      </c>
      <c r="E87" s="59" t="s">
        <v>183</v>
      </c>
      <c r="F87" s="59"/>
      <c r="G87" s="59">
        <v>22289</v>
      </c>
      <c r="H87" s="59" t="s">
        <v>258</v>
      </c>
      <c r="I87" s="59"/>
      <c r="J87" s="59" t="s">
        <v>185</v>
      </c>
      <c r="K87" s="60"/>
      <c r="L87" s="59">
        <v>145260</v>
      </c>
      <c r="M87" s="59" t="s">
        <v>259</v>
      </c>
      <c r="N87" s="59"/>
      <c r="O87" s="61">
        <f>0+0</f>
        <v>0</v>
      </c>
      <c r="P87" s="62" t="s">
        <v>120</v>
      </c>
      <c r="Q87" s="61">
        <f>0+0</f>
        <v>0</v>
      </c>
      <c r="R87" s="61">
        <v>22289</v>
      </c>
      <c r="S87" s="61">
        <v>145260</v>
      </c>
      <c r="T87" s="62"/>
      <c r="U87" s="62"/>
      <c r="V87" s="61"/>
      <c r="W87" s="61"/>
      <c r="X87" s="62">
        <v>145260</v>
      </c>
      <c r="Y87" s="62"/>
      <c r="Z87" s="62"/>
      <c r="AA87" s="62">
        <v>0</v>
      </c>
      <c r="AB87" s="62">
        <v>0</v>
      </c>
      <c r="AC87" s="62" t="s">
        <v>42</v>
      </c>
      <c r="AD87" s="62" t="s">
        <v>42</v>
      </c>
      <c r="AE87" s="63"/>
      <c r="AF87" s="63"/>
      <c r="AG87" s="63"/>
      <c r="AH87" s="63">
        <v>145260</v>
      </c>
      <c r="AI87" s="61"/>
      <c r="AJ87" s="61"/>
      <c r="AK87" s="61"/>
      <c r="AL87" s="61">
        <v>22289</v>
      </c>
      <c r="AM87" s="61">
        <v>145260</v>
      </c>
      <c r="AN87" s="61">
        <v>22289</v>
      </c>
      <c r="AO87" s="64" t="s">
        <v>20</v>
      </c>
      <c r="AP87" s="64" t="s">
        <v>20</v>
      </c>
      <c r="AQ87" s="64" t="s">
        <v>20</v>
      </c>
      <c r="AR87" s="64">
        <v>6.517</v>
      </c>
      <c r="AS87" s="9"/>
    </row>
    <row r="88" spans="1:45" ht="12.75">
      <c r="A88" s="87" t="s">
        <v>67</v>
      </c>
      <c r="B88" s="88"/>
      <c r="C88" s="88"/>
      <c r="D88" s="88"/>
      <c r="E88" s="88"/>
      <c r="F88" s="88"/>
      <c r="G88" s="84">
        <v>43120</v>
      </c>
      <c r="H88" s="59"/>
      <c r="I88" s="59"/>
      <c r="J88" s="59"/>
      <c r="K88" s="60"/>
      <c r="L88" s="84">
        <v>323619</v>
      </c>
      <c r="M88" s="59"/>
      <c r="N88" s="59"/>
      <c r="O88" s="65" t="s">
        <v>60</v>
      </c>
      <c r="P88" s="66" t="s">
        <v>60</v>
      </c>
      <c r="Q88" s="65" t="s">
        <v>60</v>
      </c>
      <c r="R88" s="65" t="s">
        <v>60</v>
      </c>
      <c r="S88" s="65" t="s">
        <v>60</v>
      </c>
      <c r="T88" s="66" t="s">
        <v>60</v>
      </c>
      <c r="U88" s="66" t="s">
        <v>60</v>
      </c>
      <c r="V88" s="65" t="s">
        <v>60</v>
      </c>
      <c r="W88" s="65" t="s">
        <v>60</v>
      </c>
      <c r="X88" s="66" t="s">
        <v>60</v>
      </c>
      <c r="Y88" s="66" t="s">
        <v>60</v>
      </c>
      <c r="Z88" s="66" t="s">
        <v>60</v>
      </c>
      <c r="AA88" s="66" t="s">
        <v>60</v>
      </c>
      <c r="AB88" s="66" t="s">
        <v>60</v>
      </c>
      <c r="AC88" s="66" t="s">
        <v>60</v>
      </c>
      <c r="AD88" s="66" t="s">
        <v>60</v>
      </c>
      <c r="AE88" s="67" t="s">
        <v>60</v>
      </c>
      <c r="AF88" s="67" t="s">
        <v>60</v>
      </c>
      <c r="AG88" s="67" t="s">
        <v>60</v>
      </c>
      <c r="AH88" s="67" t="s">
        <v>60</v>
      </c>
      <c r="AI88" s="65" t="s">
        <v>60</v>
      </c>
      <c r="AJ88" s="65" t="s">
        <v>60</v>
      </c>
      <c r="AK88" s="65" t="s">
        <v>60</v>
      </c>
      <c r="AL88" s="65" t="s">
        <v>60</v>
      </c>
      <c r="AM88" s="65"/>
      <c r="AN88" s="65"/>
      <c r="AO88" s="68" t="s">
        <v>60</v>
      </c>
      <c r="AP88" s="68" t="s">
        <v>60</v>
      </c>
      <c r="AQ88" s="68" t="s">
        <v>60</v>
      </c>
      <c r="AR88" s="68" t="s">
        <v>60</v>
      </c>
      <c r="AS88" s="9"/>
    </row>
    <row r="89" spans="1:45" ht="42" customHeight="1">
      <c r="A89" s="87" t="s">
        <v>461</v>
      </c>
      <c r="B89" s="88"/>
      <c r="C89" s="88"/>
      <c r="D89" s="88"/>
      <c r="E89" s="88"/>
      <c r="F89" s="88"/>
      <c r="G89" s="84"/>
      <c r="H89" s="59"/>
      <c r="I89" s="59"/>
      <c r="J89" s="59"/>
      <c r="K89" s="60"/>
      <c r="L89" s="84">
        <v>440381</v>
      </c>
      <c r="M89" s="59"/>
      <c r="N89" s="59"/>
      <c r="O89" s="65" t="s">
        <v>60</v>
      </c>
      <c r="P89" s="66" t="s">
        <v>60</v>
      </c>
      <c r="Q89" s="65" t="s">
        <v>60</v>
      </c>
      <c r="R89" s="65" t="s">
        <v>60</v>
      </c>
      <c r="S89" s="65" t="s">
        <v>60</v>
      </c>
      <c r="T89" s="66" t="s">
        <v>60</v>
      </c>
      <c r="U89" s="66" t="s">
        <v>60</v>
      </c>
      <c r="V89" s="65" t="s">
        <v>60</v>
      </c>
      <c r="W89" s="65" t="s">
        <v>60</v>
      </c>
      <c r="X89" s="66" t="s">
        <v>60</v>
      </c>
      <c r="Y89" s="66" t="s">
        <v>60</v>
      </c>
      <c r="Z89" s="66" t="s">
        <v>60</v>
      </c>
      <c r="AA89" s="66" t="s">
        <v>60</v>
      </c>
      <c r="AB89" s="66" t="s">
        <v>60</v>
      </c>
      <c r="AC89" s="66" t="s">
        <v>60</v>
      </c>
      <c r="AD89" s="66" t="s">
        <v>60</v>
      </c>
      <c r="AE89" s="67" t="s">
        <v>60</v>
      </c>
      <c r="AF89" s="67" t="s">
        <v>60</v>
      </c>
      <c r="AG89" s="67" t="s">
        <v>60</v>
      </c>
      <c r="AH89" s="67" t="s">
        <v>60</v>
      </c>
      <c r="AI89" s="65" t="s">
        <v>60</v>
      </c>
      <c r="AJ89" s="65" t="s">
        <v>60</v>
      </c>
      <c r="AK89" s="65" t="s">
        <v>60</v>
      </c>
      <c r="AL89" s="65" t="s">
        <v>60</v>
      </c>
      <c r="AM89" s="65"/>
      <c r="AN89" s="65"/>
      <c r="AO89" s="68" t="s">
        <v>60</v>
      </c>
      <c r="AP89" s="68" t="s">
        <v>60</v>
      </c>
      <c r="AQ89" s="68" t="s">
        <v>60</v>
      </c>
      <c r="AR89" s="68" t="s">
        <v>60</v>
      </c>
      <c r="AS89" s="9"/>
    </row>
    <row r="90" spans="1:45" ht="12.75">
      <c r="A90" s="89" t="s">
        <v>260</v>
      </c>
      <c r="B90" s="90"/>
      <c r="C90" s="90"/>
      <c r="D90" s="90"/>
      <c r="E90" s="90"/>
      <c r="F90" s="90"/>
      <c r="G90" s="85">
        <v>43120</v>
      </c>
      <c r="H90" s="69"/>
      <c r="I90" s="69"/>
      <c r="J90" s="69"/>
      <c r="K90" s="70"/>
      <c r="L90" s="85">
        <v>440381</v>
      </c>
      <c r="M90" s="69"/>
      <c r="N90" s="69"/>
      <c r="O90" s="71" t="s">
        <v>60</v>
      </c>
      <c r="P90" s="72" t="s">
        <v>60</v>
      </c>
      <c r="Q90" s="71" t="s">
        <v>60</v>
      </c>
      <c r="R90" s="71" t="s">
        <v>60</v>
      </c>
      <c r="S90" s="71" t="s">
        <v>60</v>
      </c>
      <c r="T90" s="72" t="s">
        <v>60</v>
      </c>
      <c r="U90" s="72" t="s">
        <v>60</v>
      </c>
      <c r="V90" s="71" t="s">
        <v>60</v>
      </c>
      <c r="W90" s="71" t="s">
        <v>60</v>
      </c>
      <c r="X90" s="72" t="s">
        <v>60</v>
      </c>
      <c r="Y90" s="72" t="s">
        <v>60</v>
      </c>
      <c r="Z90" s="72" t="s">
        <v>60</v>
      </c>
      <c r="AA90" s="72" t="s">
        <v>60</v>
      </c>
      <c r="AB90" s="72" t="s">
        <v>60</v>
      </c>
      <c r="AC90" s="72" t="s">
        <v>60</v>
      </c>
      <c r="AD90" s="72" t="s">
        <v>60</v>
      </c>
      <c r="AE90" s="73" t="s">
        <v>60</v>
      </c>
      <c r="AF90" s="73" t="s">
        <v>60</v>
      </c>
      <c r="AG90" s="73" t="s">
        <v>60</v>
      </c>
      <c r="AH90" s="73" t="s">
        <v>60</v>
      </c>
      <c r="AI90" s="71" t="s">
        <v>60</v>
      </c>
      <c r="AJ90" s="71" t="s">
        <v>60</v>
      </c>
      <c r="AK90" s="71" t="s">
        <v>60</v>
      </c>
      <c r="AL90" s="71" t="s">
        <v>60</v>
      </c>
      <c r="AM90" s="71"/>
      <c r="AN90" s="71"/>
      <c r="AO90" s="74" t="s">
        <v>60</v>
      </c>
      <c r="AP90" s="74" t="s">
        <v>60</v>
      </c>
      <c r="AQ90" s="74" t="s">
        <v>60</v>
      </c>
      <c r="AR90" s="74" t="s">
        <v>60</v>
      </c>
      <c r="AS90" s="9"/>
    </row>
    <row r="91" spans="1:45" ht="21" customHeight="1">
      <c r="A91" s="92" t="s">
        <v>261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"/>
    </row>
    <row r="92" spans="1:45" ht="114.75">
      <c r="A92" s="56">
        <v>48</v>
      </c>
      <c r="B92" s="57" t="s">
        <v>262</v>
      </c>
      <c r="C92" s="58">
        <v>0.00635</v>
      </c>
      <c r="D92" s="59">
        <v>3055.85</v>
      </c>
      <c r="E92" s="59">
        <v>105.85</v>
      </c>
      <c r="F92" s="59" t="s">
        <v>263</v>
      </c>
      <c r="G92" s="59">
        <v>20</v>
      </c>
      <c r="H92" s="59">
        <v>1</v>
      </c>
      <c r="I92" s="59" t="s">
        <v>264</v>
      </c>
      <c r="J92" s="59">
        <v>21.13</v>
      </c>
      <c r="K92" s="60" t="s">
        <v>265</v>
      </c>
      <c r="L92" s="59">
        <v>139</v>
      </c>
      <c r="M92" s="59">
        <v>14</v>
      </c>
      <c r="N92" s="59" t="s">
        <v>266</v>
      </c>
      <c r="O92" s="61">
        <f>1+3</f>
        <v>4</v>
      </c>
      <c r="P92" s="62" t="s">
        <v>39</v>
      </c>
      <c r="Q92" s="61">
        <f>14+51</f>
        <v>65</v>
      </c>
      <c r="R92" s="61">
        <v>20</v>
      </c>
      <c r="S92" s="61">
        <v>139</v>
      </c>
      <c r="T92" s="62" t="s">
        <v>200</v>
      </c>
      <c r="U92" s="62" t="s">
        <v>201</v>
      </c>
      <c r="V92" s="61">
        <v>53</v>
      </c>
      <c r="W92" s="61">
        <v>22</v>
      </c>
      <c r="X92" s="62">
        <v>214</v>
      </c>
      <c r="Y92" s="62">
        <v>4</v>
      </c>
      <c r="Z92" s="62">
        <v>2</v>
      </c>
      <c r="AA92" s="62">
        <v>73</v>
      </c>
      <c r="AB92" s="62">
        <v>34</v>
      </c>
      <c r="AC92" s="62" t="s">
        <v>42</v>
      </c>
      <c r="AD92" s="62" t="s">
        <v>42</v>
      </c>
      <c r="AE92" s="63">
        <v>14</v>
      </c>
      <c r="AF92" s="63">
        <v>125</v>
      </c>
      <c r="AG92" s="63">
        <v>51</v>
      </c>
      <c r="AH92" s="63"/>
      <c r="AI92" s="61">
        <v>1</v>
      </c>
      <c r="AJ92" s="61">
        <v>19</v>
      </c>
      <c r="AK92" s="61">
        <v>3</v>
      </c>
      <c r="AL92" s="61"/>
      <c r="AM92" s="61">
        <v>139</v>
      </c>
      <c r="AN92" s="61">
        <v>20</v>
      </c>
      <c r="AO92" s="64">
        <v>21.13</v>
      </c>
      <c r="AP92" s="64">
        <v>6.68</v>
      </c>
      <c r="AQ92" s="64">
        <v>20.225</v>
      </c>
      <c r="AR92" s="64" t="s">
        <v>20</v>
      </c>
      <c r="AS92" s="9"/>
    </row>
    <row r="93" spans="1:45" ht="191.25">
      <c r="A93" s="56">
        <v>49</v>
      </c>
      <c r="B93" s="57" t="s">
        <v>267</v>
      </c>
      <c r="C93" s="58">
        <v>0.0034</v>
      </c>
      <c r="D93" s="59">
        <v>1441.44</v>
      </c>
      <c r="E93" s="59">
        <v>1441.44</v>
      </c>
      <c r="F93" s="59"/>
      <c r="G93" s="59">
        <v>5</v>
      </c>
      <c r="H93" s="59">
        <v>5</v>
      </c>
      <c r="I93" s="59"/>
      <c r="J93" s="59">
        <v>21.13</v>
      </c>
      <c r="K93" s="60"/>
      <c r="L93" s="59">
        <v>104</v>
      </c>
      <c r="M93" s="59">
        <v>104</v>
      </c>
      <c r="N93" s="59"/>
      <c r="O93" s="61">
        <f>5+0</f>
        <v>5</v>
      </c>
      <c r="P93" s="62" t="s">
        <v>39</v>
      </c>
      <c r="Q93" s="61">
        <f>104+0</f>
        <v>104</v>
      </c>
      <c r="R93" s="61">
        <v>5</v>
      </c>
      <c r="S93" s="61">
        <v>104</v>
      </c>
      <c r="T93" s="62" t="s">
        <v>98</v>
      </c>
      <c r="U93" s="62" t="s">
        <v>99</v>
      </c>
      <c r="V93" s="61">
        <v>71</v>
      </c>
      <c r="W93" s="61">
        <v>32</v>
      </c>
      <c r="X93" s="62">
        <v>207</v>
      </c>
      <c r="Y93" s="62">
        <v>4</v>
      </c>
      <c r="Z93" s="62">
        <v>2</v>
      </c>
      <c r="AA93" s="62">
        <v>61</v>
      </c>
      <c r="AB93" s="62">
        <v>31</v>
      </c>
      <c r="AC93" s="62" t="s">
        <v>42</v>
      </c>
      <c r="AD93" s="62" t="s">
        <v>42</v>
      </c>
      <c r="AE93" s="63">
        <v>104</v>
      </c>
      <c r="AF93" s="63"/>
      <c r="AG93" s="63"/>
      <c r="AH93" s="63"/>
      <c r="AI93" s="61">
        <v>5</v>
      </c>
      <c r="AJ93" s="61"/>
      <c r="AK93" s="61"/>
      <c r="AL93" s="61"/>
      <c r="AM93" s="61">
        <v>104</v>
      </c>
      <c r="AN93" s="61">
        <v>5</v>
      </c>
      <c r="AO93" s="64">
        <v>21.13</v>
      </c>
      <c r="AP93" s="64" t="s">
        <v>20</v>
      </c>
      <c r="AQ93" s="64" t="s">
        <v>20</v>
      </c>
      <c r="AR93" s="64" t="s">
        <v>20</v>
      </c>
      <c r="AS93" s="9"/>
    </row>
    <row r="94" spans="1:45" ht="89.25">
      <c r="A94" s="56">
        <v>50</v>
      </c>
      <c r="B94" s="57" t="s">
        <v>268</v>
      </c>
      <c r="C94" s="58">
        <v>0.026</v>
      </c>
      <c r="D94" s="59">
        <v>114.83</v>
      </c>
      <c r="E94" s="59">
        <v>83.33</v>
      </c>
      <c r="F94" s="59" t="s">
        <v>269</v>
      </c>
      <c r="G94" s="59">
        <v>3</v>
      </c>
      <c r="H94" s="59">
        <v>2</v>
      </c>
      <c r="I94" s="59">
        <v>1</v>
      </c>
      <c r="J94" s="59">
        <v>21.13</v>
      </c>
      <c r="K94" s="60" t="s">
        <v>270</v>
      </c>
      <c r="L94" s="59">
        <v>52</v>
      </c>
      <c r="M94" s="59">
        <v>46</v>
      </c>
      <c r="N94" s="59" t="s">
        <v>271</v>
      </c>
      <c r="O94" s="61">
        <f>2+0</f>
        <v>2</v>
      </c>
      <c r="P94" s="62" t="s">
        <v>39</v>
      </c>
      <c r="Q94" s="61">
        <f>46+2</f>
        <v>48</v>
      </c>
      <c r="R94" s="61">
        <v>3</v>
      </c>
      <c r="S94" s="61">
        <v>52</v>
      </c>
      <c r="T94" s="62" t="s">
        <v>272</v>
      </c>
      <c r="U94" s="62" t="s">
        <v>273</v>
      </c>
      <c r="V94" s="61">
        <v>53</v>
      </c>
      <c r="W94" s="61">
        <v>29</v>
      </c>
      <c r="X94" s="62">
        <v>134</v>
      </c>
      <c r="Y94" s="62">
        <v>3</v>
      </c>
      <c r="Z94" s="62">
        <v>2</v>
      </c>
      <c r="AA94" s="62">
        <v>111</v>
      </c>
      <c r="AB94" s="62">
        <v>61</v>
      </c>
      <c r="AC94" s="62" t="s">
        <v>42</v>
      </c>
      <c r="AD94" s="62" t="s">
        <v>42</v>
      </c>
      <c r="AE94" s="63">
        <v>46</v>
      </c>
      <c r="AF94" s="63">
        <v>6</v>
      </c>
      <c r="AG94" s="63">
        <v>2</v>
      </c>
      <c r="AH94" s="63"/>
      <c r="AI94" s="61">
        <v>2</v>
      </c>
      <c r="AJ94" s="61">
        <v>1</v>
      </c>
      <c r="AK94" s="61"/>
      <c r="AL94" s="61"/>
      <c r="AM94" s="61">
        <v>52</v>
      </c>
      <c r="AN94" s="61">
        <v>3</v>
      </c>
      <c r="AO94" s="64">
        <v>21.13</v>
      </c>
      <c r="AP94" s="64">
        <v>6.88</v>
      </c>
      <c r="AQ94" s="64">
        <v>20.216</v>
      </c>
      <c r="AR94" s="64" t="s">
        <v>20</v>
      </c>
      <c r="AS94" s="9"/>
    </row>
    <row r="95" spans="1:45" ht="51">
      <c r="A95" s="56">
        <v>51</v>
      </c>
      <c r="B95" s="57" t="s">
        <v>213</v>
      </c>
      <c r="C95" s="58">
        <v>0.286</v>
      </c>
      <c r="D95" s="59">
        <v>55.26</v>
      </c>
      <c r="E95" s="59" t="s">
        <v>215</v>
      </c>
      <c r="F95" s="59"/>
      <c r="G95" s="59">
        <v>16</v>
      </c>
      <c r="H95" s="59" t="s">
        <v>274</v>
      </c>
      <c r="I95" s="59"/>
      <c r="J95" s="59" t="s">
        <v>217</v>
      </c>
      <c r="K95" s="60"/>
      <c r="L95" s="59">
        <v>154</v>
      </c>
      <c r="M95" s="59" t="s">
        <v>275</v>
      </c>
      <c r="N95" s="59"/>
      <c r="O95" s="61">
        <f>0+0</f>
        <v>0</v>
      </c>
      <c r="P95" s="62" t="s">
        <v>120</v>
      </c>
      <c r="Q95" s="61">
        <f>0+0</f>
        <v>0</v>
      </c>
      <c r="R95" s="61">
        <v>16</v>
      </c>
      <c r="S95" s="61">
        <v>154</v>
      </c>
      <c r="T95" s="62"/>
      <c r="U95" s="62"/>
      <c r="V95" s="61"/>
      <c r="W95" s="61"/>
      <c r="X95" s="62">
        <v>154</v>
      </c>
      <c r="Y95" s="62"/>
      <c r="Z95" s="62"/>
      <c r="AA95" s="62">
        <v>111</v>
      </c>
      <c r="AB95" s="62">
        <v>61</v>
      </c>
      <c r="AC95" s="62" t="s">
        <v>42</v>
      </c>
      <c r="AD95" s="62" t="s">
        <v>42</v>
      </c>
      <c r="AE95" s="63"/>
      <c r="AF95" s="63"/>
      <c r="AG95" s="63"/>
      <c r="AH95" s="63">
        <v>154</v>
      </c>
      <c r="AI95" s="61"/>
      <c r="AJ95" s="61"/>
      <c r="AK95" s="61"/>
      <c r="AL95" s="61">
        <v>16</v>
      </c>
      <c r="AM95" s="61">
        <v>154</v>
      </c>
      <c r="AN95" s="61">
        <v>16</v>
      </c>
      <c r="AO95" s="64" t="s">
        <v>20</v>
      </c>
      <c r="AP95" s="64" t="s">
        <v>20</v>
      </c>
      <c r="AQ95" s="64" t="s">
        <v>20</v>
      </c>
      <c r="AR95" s="64">
        <v>9.721</v>
      </c>
      <c r="AS95" s="9"/>
    </row>
    <row r="96" spans="1:45" ht="89.25">
      <c r="A96" s="56">
        <v>52</v>
      </c>
      <c r="B96" s="57" t="s">
        <v>276</v>
      </c>
      <c r="C96" s="58">
        <v>0.052</v>
      </c>
      <c r="D96" s="59">
        <v>1611.72</v>
      </c>
      <c r="E96" s="59" t="s">
        <v>277</v>
      </c>
      <c r="F96" s="59" t="s">
        <v>278</v>
      </c>
      <c r="G96" s="59">
        <v>83</v>
      </c>
      <c r="H96" s="59" t="s">
        <v>279</v>
      </c>
      <c r="I96" s="59">
        <v>2</v>
      </c>
      <c r="J96" s="59" t="s">
        <v>280</v>
      </c>
      <c r="K96" s="60" t="s">
        <v>281</v>
      </c>
      <c r="L96" s="59">
        <v>656</v>
      </c>
      <c r="M96" s="59" t="s">
        <v>282</v>
      </c>
      <c r="N96" s="59" t="s">
        <v>283</v>
      </c>
      <c r="O96" s="61">
        <f>4+0</f>
        <v>4</v>
      </c>
      <c r="P96" s="62" t="s">
        <v>39</v>
      </c>
      <c r="Q96" s="61">
        <f>92+5</f>
        <v>97</v>
      </c>
      <c r="R96" s="61">
        <v>83</v>
      </c>
      <c r="S96" s="61">
        <v>656</v>
      </c>
      <c r="T96" s="62" t="s">
        <v>272</v>
      </c>
      <c r="U96" s="62" t="s">
        <v>273</v>
      </c>
      <c r="V96" s="61">
        <v>108</v>
      </c>
      <c r="W96" s="61">
        <v>59</v>
      </c>
      <c r="X96" s="62">
        <v>823</v>
      </c>
      <c r="Y96" s="62">
        <v>5</v>
      </c>
      <c r="Z96" s="62">
        <v>3</v>
      </c>
      <c r="AA96" s="62">
        <v>111</v>
      </c>
      <c r="AB96" s="62">
        <v>61</v>
      </c>
      <c r="AC96" s="62" t="s">
        <v>42</v>
      </c>
      <c r="AD96" s="62" t="s">
        <v>42</v>
      </c>
      <c r="AE96" s="63">
        <v>92</v>
      </c>
      <c r="AF96" s="63">
        <v>16</v>
      </c>
      <c r="AG96" s="63">
        <v>5</v>
      </c>
      <c r="AH96" s="63">
        <v>548</v>
      </c>
      <c r="AI96" s="61">
        <v>4</v>
      </c>
      <c r="AJ96" s="61">
        <v>2</v>
      </c>
      <c r="AK96" s="61"/>
      <c r="AL96" s="61">
        <v>77</v>
      </c>
      <c r="AM96" s="61">
        <v>656</v>
      </c>
      <c r="AN96" s="61">
        <v>83</v>
      </c>
      <c r="AO96" s="64">
        <v>21.13</v>
      </c>
      <c r="AP96" s="64">
        <v>6.881</v>
      </c>
      <c r="AQ96" s="64">
        <v>20.212</v>
      </c>
      <c r="AR96" s="64">
        <v>7.108</v>
      </c>
      <c r="AS96" s="9"/>
    </row>
    <row r="97" spans="1:45" ht="51">
      <c r="A97" s="56">
        <v>53</v>
      </c>
      <c r="B97" s="57" t="s">
        <v>284</v>
      </c>
      <c r="C97" s="58">
        <v>-0.65</v>
      </c>
      <c r="D97" s="59">
        <v>118.6</v>
      </c>
      <c r="E97" s="59" t="s">
        <v>116</v>
      </c>
      <c r="F97" s="59"/>
      <c r="G97" s="59">
        <v>-77</v>
      </c>
      <c r="H97" s="59" t="s">
        <v>285</v>
      </c>
      <c r="I97" s="59"/>
      <c r="J97" s="59" t="s">
        <v>286</v>
      </c>
      <c r="K97" s="60"/>
      <c r="L97" s="59">
        <v>-548</v>
      </c>
      <c r="M97" s="59" t="s">
        <v>287</v>
      </c>
      <c r="N97" s="59"/>
      <c r="O97" s="61">
        <f>0+0</f>
        <v>0</v>
      </c>
      <c r="P97" s="62" t="s">
        <v>120</v>
      </c>
      <c r="Q97" s="61">
        <f>0+0</f>
        <v>0</v>
      </c>
      <c r="R97" s="61">
        <v>-77</v>
      </c>
      <c r="S97" s="61">
        <v>-548</v>
      </c>
      <c r="T97" s="62"/>
      <c r="U97" s="62"/>
      <c r="V97" s="61"/>
      <c r="W97" s="61"/>
      <c r="X97" s="62">
        <v>-548</v>
      </c>
      <c r="Y97" s="62"/>
      <c r="Z97" s="62"/>
      <c r="AA97" s="62">
        <v>0</v>
      </c>
      <c r="AB97" s="62">
        <v>0</v>
      </c>
      <c r="AC97" s="62" t="s">
        <v>42</v>
      </c>
      <c r="AD97" s="62" t="s">
        <v>42</v>
      </c>
      <c r="AE97" s="63"/>
      <c r="AF97" s="63"/>
      <c r="AG97" s="63"/>
      <c r="AH97" s="63">
        <v>-548</v>
      </c>
      <c r="AI97" s="61"/>
      <c r="AJ97" s="61"/>
      <c r="AK97" s="61"/>
      <c r="AL97" s="61">
        <v>-77</v>
      </c>
      <c r="AM97" s="61">
        <v>-548</v>
      </c>
      <c r="AN97" s="61">
        <v>-77</v>
      </c>
      <c r="AO97" s="64" t="s">
        <v>20</v>
      </c>
      <c r="AP97" s="64" t="s">
        <v>20</v>
      </c>
      <c r="AQ97" s="64" t="s">
        <v>20</v>
      </c>
      <c r="AR97" s="64">
        <v>7.108</v>
      </c>
      <c r="AS97" s="9"/>
    </row>
    <row r="98" spans="1:45" ht="51">
      <c r="A98" s="56">
        <v>54</v>
      </c>
      <c r="B98" s="57" t="s">
        <v>121</v>
      </c>
      <c r="C98" s="58">
        <v>0.65</v>
      </c>
      <c r="D98" s="59">
        <v>98.6</v>
      </c>
      <c r="E98" s="59" t="s">
        <v>122</v>
      </c>
      <c r="F98" s="59"/>
      <c r="G98" s="59">
        <v>64</v>
      </c>
      <c r="H98" s="59" t="s">
        <v>288</v>
      </c>
      <c r="I98" s="59"/>
      <c r="J98" s="59" t="s">
        <v>124</v>
      </c>
      <c r="K98" s="60"/>
      <c r="L98" s="59">
        <v>392</v>
      </c>
      <c r="M98" s="59" t="s">
        <v>289</v>
      </c>
      <c r="N98" s="59"/>
      <c r="O98" s="61">
        <f>0+0</f>
        <v>0</v>
      </c>
      <c r="P98" s="62" t="s">
        <v>120</v>
      </c>
      <c r="Q98" s="61">
        <f>0+0</f>
        <v>0</v>
      </c>
      <c r="R98" s="61">
        <v>64</v>
      </c>
      <c r="S98" s="61">
        <v>392</v>
      </c>
      <c r="T98" s="62"/>
      <c r="U98" s="62"/>
      <c r="V98" s="61"/>
      <c r="W98" s="61"/>
      <c r="X98" s="62">
        <v>392</v>
      </c>
      <c r="Y98" s="62"/>
      <c r="Z98" s="62"/>
      <c r="AA98" s="62">
        <v>0</v>
      </c>
      <c r="AB98" s="62">
        <v>0</v>
      </c>
      <c r="AC98" s="62" t="s">
        <v>42</v>
      </c>
      <c r="AD98" s="62" t="s">
        <v>42</v>
      </c>
      <c r="AE98" s="63"/>
      <c r="AF98" s="63"/>
      <c r="AG98" s="63"/>
      <c r="AH98" s="63">
        <v>392</v>
      </c>
      <c r="AI98" s="61"/>
      <c r="AJ98" s="61"/>
      <c r="AK98" s="61"/>
      <c r="AL98" s="61">
        <v>64</v>
      </c>
      <c r="AM98" s="61">
        <v>392</v>
      </c>
      <c r="AN98" s="61">
        <v>64</v>
      </c>
      <c r="AO98" s="64" t="s">
        <v>20</v>
      </c>
      <c r="AP98" s="64" t="s">
        <v>20</v>
      </c>
      <c r="AQ98" s="64" t="s">
        <v>20</v>
      </c>
      <c r="AR98" s="64">
        <v>6.116</v>
      </c>
      <c r="AS98" s="9"/>
    </row>
    <row r="99" spans="1:45" ht="89.25">
      <c r="A99" s="56">
        <v>55</v>
      </c>
      <c r="B99" s="57" t="s">
        <v>290</v>
      </c>
      <c r="C99" s="58">
        <v>0.0666</v>
      </c>
      <c r="D99" s="59">
        <v>19612.07</v>
      </c>
      <c r="E99" s="59" t="s">
        <v>291</v>
      </c>
      <c r="F99" s="59" t="s">
        <v>292</v>
      </c>
      <c r="G99" s="59">
        <v>1306</v>
      </c>
      <c r="H99" s="59" t="s">
        <v>293</v>
      </c>
      <c r="I99" s="59" t="s">
        <v>294</v>
      </c>
      <c r="J99" s="59" t="s">
        <v>295</v>
      </c>
      <c r="K99" s="60" t="s">
        <v>296</v>
      </c>
      <c r="L99" s="59">
        <v>15825</v>
      </c>
      <c r="M99" s="59" t="s">
        <v>297</v>
      </c>
      <c r="N99" s="59" t="s">
        <v>298</v>
      </c>
      <c r="O99" s="61">
        <f>485+44</f>
        <v>529</v>
      </c>
      <c r="P99" s="62" t="s">
        <v>39</v>
      </c>
      <c r="Q99" s="61">
        <f>10258+881</f>
        <v>11139</v>
      </c>
      <c r="R99" s="61">
        <v>1306</v>
      </c>
      <c r="S99" s="61">
        <v>15825</v>
      </c>
      <c r="T99" s="62" t="s">
        <v>76</v>
      </c>
      <c r="U99" s="62" t="s">
        <v>77</v>
      </c>
      <c r="V99" s="61">
        <v>9914</v>
      </c>
      <c r="W99" s="61">
        <v>4901</v>
      </c>
      <c r="X99" s="62">
        <v>30640</v>
      </c>
      <c r="Y99" s="62">
        <v>555</v>
      </c>
      <c r="Z99" s="62">
        <v>291</v>
      </c>
      <c r="AA99" s="62">
        <v>80</v>
      </c>
      <c r="AB99" s="62">
        <v>44</v>
      </c>
      <c r="AC99" s="62" t="s">
        <v>42</v>
      </c>
      <c r="AD99" s="62" t="s">
        <v>42</v>
      </c>
      <c r="AE99" s="63">
        <v>10258</v>
      </c>
      <c r="AF99" s="63">
        <v>2025</v>
      </c>
      <c r="AG99" s="63">
        <v>881</v>
      </c>
      <c r="AH99" s="63">
        <v>3542</v>
      </c>
      <c r="AI99" s="61">
        <v>485</v>
      </c>
      <c r="AJ99" s="61">
        <v>285</v>
      </c>
      <c r="AK99" s="61">
        <v>44</v>
      </c>
      <c r="AL99" s="61">
        <v>536</v>
      </c>
      <c r="AM99" s="61">
        <v>15825</v>
      </c>
      <c r="AN99" s="61">
        <v>1306</v>
      </c>
      <c r="AO99" s="64">
        <v>21.13</v>
      </c>
      <c r="AP99" s="64">
        <v>7.106</v>
      </c>
      <c r="AQ99" s="64">
        <v>20.225</v>
      </c>
      <c r="AR99" s="64">
        <v>6.612</v>
      </c>
      <c r="AS99" s="9"/>
    </row>
    <row r="100" spans="1:45" ht="38.25">
      <c r="A100" s="56">
        <v>56</v>
      </c>
      <c r="B100" s="57" t="s">
        <v>144</v>
      </c>
      <c r="C100" s="58">
        <v>6.79</v>
      </c>
      <c r="D100" s="59">
        <v>592.76</v>
      </c>
      <c r="E100" s="59" t="s">
        <v>145</v>
      </c>
      <c r="F100" s="59"/>
      <c r="G100" s="59">
        <v>4025</v>
      </c>
      <c r="H100" s="59" t="s">
        <v>299</v>
      </c>
      <c r="I100" s="59"/>
      <c r="J100" s="59" t="s">
        <v>147</v>
      </c>
      <c r="K100" s="60"/>
      <c r="L100" s="59">
        <v>21364</v>
      </c>
      <c r="M100" s="59" t="s">
        <v>300</v>
      </c>
      <c r="N100" s="59"/>
      <c r="O100" s="61">
        <f>0+0</f>
        <v>0</v>
      </c>
      <c r="P100" s="62" t="s">
        <v>120</v>
      </c>
      <c r="Q100" s="61">
        <f>0+0</f>
        <v>0</v>
      </c>
      <c r="R100" s="61">
        <v>4025</v>
      </c>
      <c r="S100" s="61">
        <v>21364</v>
      </c>
      <c r="T100" s="62"/>
      <c r="U100" s="62"/>
      <c r="V100" s="61"/>
      <c r="W100" s="61"/>
      <c r="X100" s="62">
        <v>21364</v>
      </c>
      <c r="Y100" s="62"/>
      <c r="Z100" s="62"/>
      <c r="AA100" s="62">
        <v>80</v>
      </c>
      <c r="AB100" s="62">
        <v>44</v>
      </c>
      <c r="AC100" s="62" t="s">
        <v>42</v>
      </c>
      <c r="AD100" s="62" t="s">
        <v>42</v>
      </c>
      <c r="AE100" s="63"/>
      <c r="AF100" s="63"/>
      <c r="AG100" s="63"/>
      <c r="AH100" s="63">
        <v>21364</v>
      </c>
      <c r="AI100" s="61"/>
      <c r="AJ100" s="61"/>
      <c r="AK100" s="61"/>
      <c r="AL100" s="61">
        <v>4025</v>
      </c>
      <c r="AM100" s="61">
        <v>21364</v>
      </c>
      <c r="AN100" s="61">
        <v>4025</v>
      </c>
      <c r="AO100" s="64" t="s">
        <v>20</v>
      </c>
      <c r="AP100" s="64" t="s">
        <v>20</v>
      </c>
      <c r="AQ100" s="64" t="s">
        <v>20</v>
      </c>
      <c r="AR100" s="64">
        <v>5.308</v>
      </c>
      <c r="AS100" s="9"/>
    </row>
    <row r="101" spans="1:45" ht="89.25">
      <c r="A101" s="56">
        <v>57</v>
      </c>
      <c r="B101" s="57" t="s">
        <v>301</v>
      </c>
      <c r="C101" s="58">
        <v>0.00197</v>
      </c>
      <c r="D101" s="59">
        <v>26370.85</v>
      </c>
      <c r="E101" s="59" t="s">
        <v>302</v>
      </c>
      <c r="F101" s="59" t="s">
        <v>303</v>
      </c>
      <c r="G101" s="59">
        <v>53</v>
      </c>
      <c r="H101" s="59" t="s">
        <v>304</v>
      </c>
      <c r="I101" s="59" t="s">
        <v>305</v>
      </c>
      <c r="J101" s="59" t="s">
        <v>306</v>
      </c>
      <c r="K101" s="60" t="s">
        <v>307</v>
      </c>
      <c r="L101" s="59">
        <v>524</v>
      </c>
      <c r="M101" s="59" t="s">
        <v>308</v>
      </c>
      <c r="N101" s="59" t="s">
        <v>309</v>
      </c>
      <c r="O101" s="61">
        <f>10+5</f>
        <v>15</v>
      </c>
      <c r="P101" s="62" t="s">
        <v>39</v>
      </c>
      <c r="Q101" s="61">
        <f>204+110</f>
        <v>314</v>
      </c>
      <c r="R101" s="61">
        <v>53</v>
      </c>
      <c r="S101" s="61">
        <v>524</v>
      </c>
      <c r="T101" s="62" t="s">
        <v>310</v>
      </c>
      <c r="U101" s="62" t="s">
        <v>311</v>
      </c>
      <c r="V101" s="61">
        <v>349</v>
      </c>
      <c r="W101" s="61">
        <v>182</v>
      </c>
      <c r="X101" s="62">
        <v>1055</v>
      </c>
      <c r="Y101" s="62">
        <v>20</v>
      </c>
      <c r="Z101" s="62">
        <v>11</v>
      </c>
      <c r="AA101" s="62">
        <v>99</v>
      </c>
      <c r="AB101" s="62">
        <v>58</v>
      </c>
      <c r="AC101" s="62" t="s">
        <v>42</v>
      </c>
      <c r="AD101" s="62" t="s">
        <v>42</v>
      </c>
      <c r="AE101" s="63">
        <v>204</v>
      </c>
      <c r="AF101" s="63">
        <v>303</v>
      </c>
      <c r="AG101" s="63">
        <v>110</v>
      </c>
      <c r="AH101" s="63">
        <v>17</v>
      </c>
      <c r="AI101" s="61">
        <v>10</v>
      </c>
      <c r="AJ101" s="61">
        <v>40</v>
      </c>
      <c r="AK101" s="61">
        <v>5</v>
      </c>
      <c r="AL101" s="61">
        <v>3</v>
      </c>
      <c r="AM101" s="61">
        <v>524</v>
      </c>
      <c r="AN101" s="61">
        <v>53</v>
      </c>
      <c r="AO101" s="64">
        <v>21.13</v>
      </c>
      <c r="AP101" s="64">
        <v>7.644</v>
      </c>
      <c r="AQ101" s="64">
        <v>20.22</v>
      </c>
      <c r="AR101" s="64">
        <v>6.301</v>
      </c>
      <c r="AS101" s="9"/>
    </row>
    <row r="102" spans="1:45" ht="76.5">
      <c r="A102" s="56">
        <v>58</v>
      </c>
      <c r="B102" s="57" t="s">
        <v>312</v>
      </c>
      <c r="C102" s="58">
        <v>2</v>
      </c>
      <c r="D102" s="59">
        <v>1653.38</v>
      </c>
      <c r="E102" s="59" t="s">
        <v>313</v>
      </c>
      <c r="F102" s="59"/>
      <c r="G102" s="59">
        <v>3307</v>
      </c>
      <c r="H102" s="59" t="s">
        <v>314</v>
      </c>
      <c r="I102" s="59"/>
      <c r="J102" s="59" t="s">
        <v>81</v>
      </c>
      <c r="K102" s="60"/>
      <c r="L102" s="59">
        <v>24668</v>
      </c>
      <c r="M102" s="59" t="s">
        <v>315</v>
      </c>
      <c r="N102" s="59"/>
      <c r="O102" s="61">
        <f>0+0</f>
        <v>0</v>
      </c>
      <c r="P102" s="62" t="s">
        <v>120</v>
      </c>
      <c r="Q102" s="61">
        <f>0+0</f>
        <v>0</v>
      </c>
      <c r="R102" s="61">
        <v>3307</v>
      </c>
      <c r="S102" s="61">
        <v>24668</v>
      </c>
      <c r="T102" s="62"/>
      <c r="U102" s="62"/>
      <c r="V102" s="61"/>
      <c r="W102" s="61"/>
      <c r="X102" s="62">
        <v>24668</v>
      </c>
      <c r="Y102" s="62"/>
      <c r="Z102" s="62"/>
      <c r="AA102" s="62">
        <v>0</v>
      </c>
      <c r="AB102" s="62">
        <v>0</v>
      </c>
      <c r="AC102" s="62" t="s">
        <v>42</v>
      </c>
      <c r="AD102" s="62" t="s">
        <v>42</v>
      </c>
      <c r="AE102" s="63"/>
      <c r="AF102" s="63"/>
      <c r="AG102" s="63"/>
      <c r="AH102" s="63">
        <v>24668</v>
      </c>
      <c r="AI102" s="61"/>
      <c r="AJ102" s="61"/>
      <c r="AK102" s="61"/>
      <c r="AL102" s="61">
        <v>3307</v>
      </c>
      <c r="AM102" s="61">
        <v>24668</v>
      </c>
      <c r="AN102" s="61">
        <v>3307</v>
      </c>
      <c r="AO102" s="64" t="s">
        <v>20</v>
      </c>
      <c r="AP102" s="64" t="s">
        <v>20</v>
      </c>
      <c r="AQ102" s="64" t="s">
        <v>20</v>
      </c>
      <c r="AR102" s="64">
        <v>7.46</v>
      </c>
      <c r="AS102" s="9"/>
    </row>
    <row r="103" spans="1:45" ht="76.5">
      <c r="A103" s="56">
        <v>59</v>
      </c>
      <c r="B103" s="57" t="s">
        <v>316</v>
      </c>
      <c r="C103" s="58">
        <v>4</v>
      </c>
      <c r="D103" s="59">
        <v>629.53</v>
      </c>
      <c r="E103" s="59" t="s">
        <v>317</v>
      </c>
      <c r="F103" s="59"/>
      <c r="G103" s="59">
        <v>2518</v>
      </c>
      <c r="H103" s="59" t="s">
        <v>318</v>
      </c>
      <c r="I103" s="59"/>
      <c r="J103" s="59" t="s">
        <v>81</v>
      </c>
      <c r="K103" s="60"/>
      <c r="L103" s="59">
        <v>18785</v>
      </c>
      <c r="M103" s="59" t="s">
        <v>319</v>
      </c>
      <c r="N103" s="59"/>
      <c r="O103" s="61">
        <f>0+0</f>
        <v>0</v>
      </c>
      <c r="P103" s="62" t="s">
        <v>120</v>
      </c>
      <c r="Q103" s="61">
        <f>0+0</f>
        <v>0</v>
      </c>
      <c r="R103" s="61">
        <v>2518</v>
      </c>
      <c r="S103" s="61">
        <v>18785</v>
      </c>
      <c r="T103" s="62"/>
      <c r="U103" s="62"/>
      <c r="V103" s="61"/>
      <c r="W103" s="61"/>
      <c r="X103" s="62">
        <v>18785</v>
      </c>
      <c r="Y103" s="62"/>
      <c r="Z103" s="62"/>
      <c r="AA103" s="62">
        <v>0</v>
      </c>
      <c r="AB103" s="62">
        <v>0</v>
      </c>
      <c r="AC103" s="62" t="s">
        <v>42</v>
      </c>
      <c r="AD103" s="62" t="s">
        <v>42</v>
      </c>
      <c r="AE103" s="63"/>
      <c r="AF103" s="63"/>
      <c r="AG103" s="63"/>
      <c r="AH103" s="63">
        <v>18785</v>
      </c>
      <c r="AI103" s="61"/>
      <c r="AJ103" s="61"/>
      <c r="AK103" s="61"/>
      <c r="AL103" s="61">
        <v>2518</v>
      </c>
      <c r="AM103" s="61">
        <v>18785</v>
      </c>
      <c r="AN103" s="61">
        <v>2518</v>
      </c>
      <c r="AO103" s="64" t="s">
        <v>20</v>
      </c>
      <c r="AP103" s="64" t="s">
        <v>20</v>
      </c>
      <c r="AQ103" s="64" t="s">
        <v>20</v>
      </c>
      <c r="AR103" s="64">
        <v>7.46</v>
      </c>
      <c r="AS103" s="9"/>
    </row>
    <row r="104" spans="1:45" ht="76.5">
      <c r="A104" s="56">
        <v>61</v>
      </c>
      <c r="B104" s="57" t="s">
        <v>320</v>
      </c>
      <c r="C104" s="58">
        <v>2</v>
      </c>
      <c r="D104" s="59">
        <v>16.45</v>
      </c>
      <c r="E104" s="59" t="s">
        <v>321</v>
      </c>
      <c r="F104" s="59" t="s">
        <v>322</v>
      </c>
      <c r="G104" s="59">
        <v>33</v>
      </c>
      <c r="H104" s="59" t="s">
        <v>323</v>
      </c>
      <c r="I104" s="59" t="s">
        <v>246</v>
      </c>
      <c r="J104" s="59" t="s">
        <v>324</v>
      </c>
      <c r="K104" s="60" t="s">
        <v>325</v>
      </c>
      <c r="L104" s="59">
        <v>555</v>
      </c>
      <c r="M104" s="59" t="s">
        <v>326</v>
      </c>
      <c r="N104" s="59" t="s">
        <v>327</v>
      </c>
      <c r="O104" s="61">
        <f>23+2</f>
        <v>25</v>
      </c>
      <c r="P104" s="62" t="s">
        <v>39</v>
      </c>
      <c r="Q104" s="61">
        <f>478+33</f>
        <v>511</v>
      </c>
      <c r="R104" s="61">
        <v>33</v>
      </c>
      <c r="S104" s="61">
        <v>555</v>
      </c>
      <c r="T104" s="62" t="s">
        <v>272</v>
      </c>
      <c r="U104" s="62" t="s">
        <v>273</v>
      </c>
      <c r="V104" s="61">
        <v>567</v>
      </c>
      <c r="W104" s="61">
        <v>312</v>
      </c>
      <c r="X104" s="62">
        <v>1434</v>
      </c>
      <c r="Y104" s="62">
        <v>33</v>
      </c>
      <c r="Z104" s="62">
        <v>19</v>
      </c>
      <c r="AA104" s="62">
        <v>111</v>
      </c>
      <c r="AB104" s="62">
        <v>61</v>
      </c>
      <c r="AC104" s="62" t="s">
        <v>42</v>
      </c>
      <c r="AD104" s="62" t="s">
        <v>42</v>
      </c>
      <c r="AE104" s="63">
        <v>478</v>
      </c>
      <c r="AF104" s="63">
        <v>72</v>
      </c>
      <c r="AG104" s="63">
        <v>33</v>
      </c>
      <c r="AH104" s="63">
        <v>5</v>
      </c>
      <c r="AI104" s="61">
        <v>23</v>
      </c>
      <c r="AJ104" s="61">
        <v>9</v>
      </c>
      <c r="AK104" s="61">
        <v>2</v>
      </c>
      <c r="AL104" s="61">
        <v>1</v>
      </c>
      <c r="AM104" s="61">
        <v>555</v>
      </c>
      <c r="AN104" s="61">
        <v>33</v>
      </c>
      <c r="AO104" s="64">
        <v>21.13</v>
      </c>
      <c r="AP104" s="64">
        <v>7.8</v>
      </c>
      <c r="AQ104" s="64">
        <v>20.247</v>
      </c>
      <c r="AR104" s="64">
        <v>5.038</v>
      </c>
      <c r="AS104" s="9"/>
    </row>
    <row r="105" spans="1:45" ht="89.25">
      <c r="A105" s="56">
        <v>62</v>
      </c>
      <c r="B105" s="57" t="s">
        <v>328</v>
      </c>
      <c r="C105" s="58">
        <v>0.0254</v>
      </c>
      <c r="D105" s="59">
        <v>729</v>
      </c>
      <c r="E105" s="59">
        <v>729</v>
      </c>
      <c r="F105" s="59"/>
      <c r="G105" s="59">
        <v>19</v>
      </c>
      <c r="H105" s="59">
        <v>19</v>
      </c>
      <c r="I105" s="59"/>
      <c r="J105" s="59">
        <v>21.13</v>
      </c>
      <c r="K105" s="60"/>
      <c r="L105" s="59">
        <v>391</v>
      </c>
      <c r="M105" s="59">
        <v>391</v>
      </c>
      <c r="N105" s="59"/>
      <c r="O105" s="61">
        <f>19+0</f>
        <v>19</v>
      </c>
      <c r="P105" s="62" t="s">
        <v>39</v>
      </c>
      <c r="Q105" s="61">
        <f>391+0</f>
        <v>391</v>
      </c>
      <c r="R105" s="61">
        <v>19</v>
      </c>
      <c r="S105" s="61">
        <v>391</v>
      </c>
      <c r="T105" s="62" t="s">
        <v>98</v>
      </c>
      <c r="U105" s="62" t="s">
        <v>99</v>
      </c>
      <c r="V105" s="61">
        <v>266</v>
      </c>
      <c r="W105" s="61">
        <v>121</v>
      </c>
      <c r="X105" s="62">
        <v>778</v>
      </c>
      <c r="Y105" s="62">
        <v>15</v>
      </c>
      <c r="Z105" s="62">
        <v>7</v>
      </c>
      <c r="AA105" s="62">
        <v>61</v>
      </c>
      <c r="AB105" s="62">
        <v>31</v>
      </c>
      <c r="AC105" s="62" t="s">
        <v>42</v>
      </c>
      <c r="AD105" s="62" t="s">
        <v>42</v>
      </c>
      <c r="AE105" s="63">
        <v>391</v>
      </c>
      <c r="AF105" s="63"/>
      <c r="AG105" s="63"/>
      <c r="AH105" s="63"/>
      <c r="AI105" s="61">
        <v>19</v>
      </c>
      <c r="AJ105" s="61"/>
      <c r="AK105" s="61"/>
      <c r="AL105" s="61"/>
      <c r="AM105" s="61">
        <v>391</v>
      </c>
      <c r="AN105" s="61">
        <v>19</v>
      </c>
      <c r="AO105" s="64">
        <v>21.13</v>
      </c>
      <c r="AP105" s="64" t="s">
        <v>20</v>
      </c>
      <c r="AQ105" s="64" t="s">
        <v>20</v>
      </c>
      <c r="AR105" s="64" t="s">
        <v>20</v>
      </c>
      <c r="AS105" s="9"/>
    </row>
    <row r="106" spans="1:45" ht="12.75">
      <c r="A106" s="87" t="s">
        <v>67</v>
      </c>
      <c r="B106" s="88"/>
      <c r="C106" s="88"/>
      <c r="D106" s="88"/>
      <c r="E106" s="88"/>
      <c r="F106" s="88"/>
      <c r="G106" s="84">
        <v>12350</v>
      </c>
      <c r="H106" s="59"/>
      <c r="I106" s="59"/>
      <c r="J106" s="59"/>
      <c r="K106" s="60"/>
      <c r="L106" s="84">
        <v>100100</v>
      </c>
      <c r="M106" s="59"/>
      <c r="N106" s="59"/>
      <c r="O106" s="65" t="s">
        <v>60</v>
      </c>
      <c r="P106" s="66" t="s">
        <v>60</v>
      </c>
      <c r="Q106" s="65" t="s">
        <v>60</v>
      </c>
      <c r="R106" s="65" t="s">
        <v>60</v>
      </c>
      <c r="S106" s="65" t="s">
        <v>60</v>
      </c>
      <c r="T106" s="66" t="s">
        <v>60</v>
      </c>
      <c r="U106" s="66" t="s">
        <v>60</v>
      </c>
      <c r="V106" s="65" t="s">
        <v>60</v>
      </c>
      <c r="W106" s="65" t="s">
        <v>60</v>
      </c>
      <c r="X106" s="66" t="s">
        <v>60</v>
      </c>
      <c r="Y106" s="66" t="s">
        <v>60</v>
      </c>
      <c r="Z106" s="66" t="s">
        <v>60</v>
      </c>
      <c r="AA106" s="66" t="s">
        <v>60</v>
      </c>
      <c r="AB106" s="66" t="s">
        <v>60</v>
      </c>
      <c r="AC106" s="66" t="s">
        <v>60</v>
      </c>
      <c r="AD106" s="66" t="s">
        <v>60</v>
      </c>
      <c r="AE106" s="67" t="s">
        <v>60</v>
      </c>
      <c r="AF106" s="67" t="s">
        <v>60</v>
      </c>
      <c r="AG106" s="67" t="s">
        <v>60</v>
      </c>
      <c r="AH106" s="67" t="s">
        <v>60</v>
      </c>
      <c r="AI106" s="65" t="s">
        <v>60</v>
      </c>
      <c r="AJ106" s="65" t="s">
        <v>60</v>
      </c>
      <c r="AK106" s="65" t="s">
        <v>60</v>
      </c>
      <c r="AL106" s="65" t="s">
        <v>60</v>
      </c>
      <c r="AM106" s="65"/>
      <c r="AN106" s="65"/>
      <c r="AO106" s="68" t="s">
        <v>60</v>
      </c>
      <c r="AP106" s="68" t="s">
        <v>60</v>
      </c>
      <c r="AQ106" s="68" t="s">
        <v>60</v>
      </c>
      <c r="AR106" s="68" t="s">
        <v>60</v>
      </c>
      <c r="AS106" s="9"/>
    </row>
    <row r="107" spans="1:45" ht="42" customHeight="1">
      <c r="A107" s="87" t="s">
        <v>460</v>
      </c>
      <c r="B107" s="88"/>
      <c r="C107" s="88"/>
      <c r="D107" s="88"/>
      <c r="E107" s="88"/>
      <c r="F107" s="88"/>
      <c r="G107" s="84"/>
      <c r="H107" s="59"/>
      <c r="I107" s="59"/>
      <c r="J107" s="59"/>
      <c r="K107" s="60"/>
      <c r="L107" s="84">
        <v>136216</v>
      </c>
      <c r="M107" s="59"/>
      <c r="N107" s="59"/>
      <c r="O107" s="65" t="s">
        <v>60</v>
      </c>
      <c r="P107" s="66" t="s">
        <v>60</v>
      </c>
      <c r="Q107" s="65" t="s">
        <v>60</v>
      </c>
      <c r="R107" s="65" t="s">
        <v>60</v>
      </c>
      <c r="S107" s="65" t="s">
        <v>60</v>
      </c>
      <c r="T107" s="66" t="s">
        <v>60</v>
      </c>
      <c r="U107" s="66" t="s">
        <v>60</v>
      </c>
      <c r="V107" s="65" t="s">
        <v>60</v>
      </c>
      <c r="W107" s="65" t="s">
        <v>60</v>
      </c>
      <c r="X107" s="66" t="s">
        <v>60</v>
      </c>
      <c r="Y107" s="66" t="s">
        <v>60</v>
      </c>
      <c r="Z107" s="66" t="s">
        <v>60</v>
      </c>
      <c r="AA107" s="66" t="s">
        <v>60</v>
      </c>
      <c r="AB107" s="66" t="s">
        <v>60</v>
      </c>
      <c r="AC107" s="66" t="s">
        <v>60</v>
      </c>
      <c r="AD107" s="66" t="s">
        <v>60</v>
      </c>
      <c r="AE107" s="67" t="s">
        <v>60</v>
      </c>
      <c r="AF107" s="67" t="s">
        <v>60</v>
      </c>
      <c r="AG107" s="67" t="s">
        <v>60</v>
      </c>
      <c r="AH107" s="67" t="s">
        <v>60</v>
      </c>
      <c r="AI107" s="65" t="s">
        <v>60</v>
      </c>
      <c r="AJ107" s="65" t="s">
        <v>60</v>
      </c>
      <c r="AK107" s="65" t="s">
        <v>60</v>
      </c>
      <c r="AL107" s="65" t="s">
        <v>60</v>
      </c>
      <c r="AM107" s="65"/>
      <c r="AN107" s="65"/>
      <c r="AO107" s="68" t="s">
        <v>60</v>
      </c>
      <c r="AP107" s="68" t="s">
        <v>60</v>
      </c>
      <c r="AQ107" s="68" t="s">
        <v>60</v>
      </c>
      <c r="AR107" s="68" t="s">
        <v>60</v>
      </c>
      <c r="AS107" s="9"/>
    </row>
    <row r="108" spans="1:45" ht="12.75">
      <c r="A108" s="89" t="s">
        <v>329</v>
      </c>
      <c r="B108" s="90"/>
      <c r="C108" s="90"/>
      <c r="D108" s="90"/>
      <c r="E108" s="90"/>
      <c r="F108" s="90"/>
      <c r="G108" s="85">
        <v>12350</v>
      </c>
      <c r="H108" s="69"/>
      <c r="I108" s="69"/>
      <c r="J108" s="69"/>
      <c r="K108" s="70"/>
      <c r="L108" s="85">
        <v>136216</v>
      </c>
      <c r="M108" s="69"/>
      <c r="N108" s="69"/>
      <c r="O108" s="71" t="s">
        <v>60</v>
      </c>
      <c r="P108" s="72" t="s">
        <v>60</v>
      </c>
      <c r="Q108" s="71" t="s">
        <v>60</v>
      </c>
      <c r="R108" s="71" t="s">
        <v>60</v>
      </c>
      <c r="S108" s="71" t="s">
        <v>60</v>
      </c>
      <c r="T108" s="72" t="s">
        <v>60</v>
      </c>
      <c r="U108" s="72" t="s">
        <v>60</v>
      </c>
      <c r="V108" s="71" t="s">
        <v>60</v>
      </c>
      <c r="W108" s="71" t="s">
        <v>60</v>
      </c>
      <c r="X108" s="72" t="s">
        <v>60</v>
      </c>
      <c r="Y108" s="72" t="s">
        <v>60</v>
      </c>
      <c r="Z108" s="72" t="s">
        <v>60</v>
      </c>
      <c r="AA108" s="72" t="s">
        <v>60</v>
      </c>
      <c r="AB108" s="72" t="s">
        <v>60</v>
      </c>
      <c r="AC108" s="72" t="s">
        <v>60</v>
      </c>
      <c r="AD108" s="72" t="s">
        <v>60</v>
      </c>
      <c r="AE108" s="73" t="s">
        <v>60</v>
      </c>
      <c r="AF108" s="73" t="s">
        <v>60</v>
      </c>
      <c r="AG108" s="73" t="s">
        <v>60</v>
      </c>
      <c r="AH108" s="73" t="s">
        <v>60</v>
      </c>
      <c r="AI108" s="71" t="s">
        <v>60</v>
      </c>
      <c r="AJ108" s="71" t="s">
        <v>60</v>
      </c>
      <c r="AK108" s="71" t="s">
        <v>60</v>
      </c>
      <c r="AL108" s="71" t="s">
        <v>60</v>
      </c>
      <c r="AM108" s="71"/>
      <c r="AN108" s="71"/>
      <c r="AO108" s="74" t="s">
        <v>60</v>
      </c>
      <c r="AP108" s="74" t="s">
        <v>60</v>
      </c>
      <c r="AQ108" s="74" t="s">
        <v>60</v>
      </c>
      <c r="AR108" s="74" t="s">
        <v>60</v>
      </c>
      <c r="AS108" s="9"/>
    </row>
    <row r="109" spans="1:45" ht="21" customHeight="1">
      <c r="A109" s="92" t="s">
        <v>330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"/>
    </row>
    <row r="110" spans="1:45" ht="17.25" customHeight="1">
      <c r="A110" s="94" t="s">
        <v>331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"/>
    </row>
    <row r="111" spans="1:45" ht="102">
      <c r="A111" s="56">
        <v>63</v>
      </c>
      <c r="B111" s="57" t="s">
        <v>332</v>
      </c>
      <c r="C111" s="58">
        <v>0.00612</v>
      </c>
      <c r="D111" s="59">
        <v>2184</v>
      </c>
      <c r="E111" s="59">
        <v>2184</v>
      </c>
      <c r="F111" s="59"/>
      <c r="G111" s="59">
        <v>13</v>
      </c>
      <c r="H111" s="59">
        <v>13</v>
      </c>
      <c r="I111" s="59"/>
      <c r="J111" s="59">
        <v>21.13</v>
      </c>
      <c r="K111" s="60"/>
      <c r="L111" s="59">
        <v>282</v>
      </c>
      <c r="M111" s="59">
        <v>282</v>
      </c>
      <c r="N111" s="59"/>
      <c r="O111" s="61">
        <f>13+0</f>
        <v>13</v>
      </c>
      <c r="P111" s="62" t="s">
        <v>39</v>
      </c>
      <c r="Q111" s="61">
        <f>282+0</f>
        <v>282</v>
      </c>
      <c r="R111" s="61">
        <v>13</v>
      </c>
      <c r="S111" s="61">
        <v>282</v>
      </c>
      <c r="T111" s="62" t="s">
        <v>98</v>
      </c>
      <c r="U111" s="62" t="s">
        <v>99</v>
      </c>
      <c r="V111" s="61">
        <v>192</v>
      </c>
      <c r="W111" s="61">
        <v>87</v>
      </c>
      <c r="X111" s="62">
        <v>561</v>
      </c>
      <c r="Y111" s="62">
        <v>10</v>
      </c>
      <c r="Z111" s="62">
        <v>5</v>
      </c>
      <c r="AA111" s="62">
        <v>61</v>
      </c>
      <c r="AB111" s="62">
        <v>31</v>
      </c>
      <c r="AC111" s="62" t="s">
        <v>42</v>
      </c>
      <c r="AD111" s="62" t="s">
        <v>42</v>
      </c>
      <c r="AE111" s="63">
        <v>282</v>
      </c>
      <c r="AF111" s="63"/>
      <c r="AG111" s="63"/>
      <c r="AH111" s="63"/>
      <c r="AI111" s="61">
        <v>13</v>
      </c>
      <c r="AJ111" s="61"/>
      <c r="AK111" s="61"/>
      <c r="AL111" s="61"/>
      <c r="AM111" s="61">
        <v>282</v>
      </c>
      <c r="AN111" s="61">
        <v>13</v>
      </c>
      <c r="AO111" s="64">
        <v>21.13</v>
      </c>
      <c r="AP111" s="64" t="s">
        <v>20</v>
      </c>
      <c r="AQ111" s="64" t="s">
        <v>20</v>
      </c>
      <c r="AR111" s="64" t="s">
        <v>20</v>
      </c>
      <c r="AS111" s="9"/>
    </row>
    <row r="112" spans="1:45" ht="76.5">
      <c r="A112" s="56">
        <v>64</v>
      </c>
      <c r="B112" s="57" t="s">
        <v>333</v>
      </c>
      <c r="C112" s="58">
        <v>0.00612</v>
      </c>
      <c r="D112" s="59">
        <v>3897.23</v>
      </c>
      <c r="E112" s="59" t="s">
        <v>334</v>
      </c>
      <c r="F112" s="59" t="s">
        <v>335</v>
      </c>
      <c r="G112" s="59">
        <v>25</v>
      </c>
      <c r="H112" s="59" t="s">
        <v>336</v>
      </c>
      <c r="I112" s="59" t="s">
        <v>337</v>
      </c>
      <c r="J112" s="59" t="s">
        <v>338</v>
      </c>
      <c r="K112" s="60" t="s">
        <v>339</v>
      </c>
      <c r="L112" s="59">
        <v>293</v>
      </c>
      <c r="M112" s="59" t="s">
        <v>340</v>
      </c>
      <c r="N112" s="59" t="s">
        <v>341</v>
      </c>
      <c r="O112" s="61">
        <f>9+1</f>
        <v>10</v>
      </c>
      <c r="P112" s="62" t="s">
        <v>39</v>
      </c>
      <c r="Q112" s="61">
        <f>182+30</f>
        <v>212</v>
      </c>
      <c r="R112" s="61">
        <v>25</v>
      </c>
      <c r="S112" s="61">
        <v>293</v>
      </c>
      <c r="T112" s="62" t="s">
        <v>76</v>
      </c>
      <c r="U112" s="62" t="s">
        <v>77</v>
      </c>
      <c r="V112" s="61">
        <v>189</v>
      </c>
      <c r="W112" s="61">
        <v>93</v>
      </c>
      <c r="X112" s="62">
        <v>575</v>
      </c>
      <c r="Y112" s="62">
        <v>11</v>
      </c>
      <c r="Z112" s="62">
        <v>6</v>
      </c>
      <c r="AA112" s="62">
        <v>80</v>
      </c>
      <c r="AB112" s="62">
        <v>44</v>
      </c>
      <c r="AC112" s="62" t="s">
        <v>42</v>
      </c>
      <c r="AD112" s="62" t="s">
        <v>42</v>
      </c>
      <c r="AE112" s="63">
        <v>182</v>
      </c>
      <c r="AF112" s="63">
        <v>69</v>
      </c>
      <c r="AG112" s="63">
        <v>30</v>
      </c>
      <c r="AH112" s="63">
        <v>42</v>
      </c>
      <c r="AI112" s="61">
        <v>9</v>
      </c>
      <c r="AJ112" s="61">
        <v>10</v>
      </c>
      <c r="AK112" s="61">
        <v>1</v>
      </c>
      <c r="AL112" s="61">
        <v>6</v>
      </c>
      <c r="AM112" s="61">
        <v>293</v>
      </c>
      <c r="AN112" s="61">
        <v>25</v>
      </c>
      <c r="AO112" s="64">
        <v>21.13</v>
      </c>
      <c r="AP112" s="64">
        <v>7.097</v>
      </c>
      <c r="AQ112" s="64">
        <v>20.225</v>
      </c>
      <c r="AR112" s="64">
        <v>7.522</v>
      </c>
      <c r="AS112" s="9"/>
    </row>
    <row r="113" spans="1:45" ht="38.25">
      <c r="A113" s="56">
        <v>65</v>
      </c>
      <c r="B113" s="57" t="s">
        <v>149</v>
      </c>
      <c r="C113" s="58">
        <v>0.6242</v>
      </c>
      <c r="D113" s="59">
        <v>560</v>
      </c>
      <c r="E113" s="59" t="s">
        <v>150</v>
      </c>
      <c r="F113" s="59"/>
      <c r="G113" s="59">
        <v>350</v>
      </c>
      <c r="H113" s="59" t="s">
        <v>342</v>
      </c>
      <c r="I113" s="59"/>
      <c r="J113" s="59" t="s">
        <v>152</v>
      </c>
      <c r="K113" s="60"/>
      <c r="L113" s="59">
        <v>1714</v>
      </c>
      <c r="M113" s="59" t="s">
        <v>343</v>
      </c>
      <c r="N113" s="59"/>
      <c r="O113" s="61">
        <f>0+0</f>
        <v>0</v>
      </c>
      <c r="P113" s="62" t="s">
        <v>120</v>
      </c>
      <c r="Q113" s="61">
        <f>0+0</f>
        <v>0</v>
      </c>
      <c r="R113" s="61">
        <v>350</v>
      </c>
      <c r="S113" s="61">
        <v>1714</v>
      </c>
      <c r="T113" s="62"/>
      <c r="U113" s="62"/>
      <c r="V113" s="61"/>
      <c r="W113" s="61"/>
      <c r="X113" s="62">
        <v>1714</v>
      </c>
      <c r="Y113" s="62"/>
      <c r="Z113" s="62"/>
      <c r="AA113" s="62">
        <v>80</v>
      </c>
      <c r="AB113" s="62">
        <v>44</v>
      </c>
      <c r="AC113" s="62" t="s">
        <v>42</v>
      </c>
      <c r="AD113" s="62" t="s">
        <v>42</v>
      </c>
      <c r="AE113" s="63"/>
      <c r="AF113" s="63"/>
      <c r="AG113" s="63"/>
      <c r="AH113" s="63">
        <v>1714</v>
      </c>
      <c r="AI113" s="61"/>
      <c r="AJ113" s="61"/>
      <c r="AK113" s="61"/>
      <c r="AL113" s="61">
        <v>350</v>
      </c>
      <c r="AM113" s="61">
        <v>1714</v>
      </c>
      <c r="AN113" s="61">
        <v>350</v>
      </c>
      <c r="AO113" s="64" t="s">
        <v>20</v>
      </c>
      <c r="AP113" s="64" t="s">
        <v>20</v>
      </c>
      <c r="AQ113" s="64" t="s">
        <v>20</v>
      </c>
      <c r="AR113" s="64">
        <v>4.904</v>
      </c>
      <c r="AS113" s="9"/>
    </row>
    <row r="114" spans="1:45" ht="102">
      <c r="A114" s="56">
        <v>66</v>
      </c>
      <c r="B114" s="57" t="s">
        <v>344</v>
      </c>
      <c r="C114" s="58">
        <v>0.045</v>
      </c>
      <c r="D114" s="59">
        <v>958.14</v>
      </c>
      <c r="E114" s="59" t="s">
        <v>345</v>
      </c>
      <c r="F114" s="59" t="s">
        <v>346</v>
      </c>
      <c r="G114" s="59">
        <v>43</v>
      </c>
      <c r="H114" s="59" t="s">
        <v>347</v>
      </c>
      <c r="I114" s="59" t="s">
        <v>348</v>
      </c>
      <c r="J114" s="59" t="s">
        <v>73</v>
      </c>
      <c r="K114" s="60" t="s">
        <v>74</v>
      </c>
      <c r="L114" s="59">
        <v>585</v>
      </c>
      <c r="M114" s="59" t="s">
        <v>349</v>
      </c>
      <c r="N114" s="59" t="s">
        <v>350</v>
      </c>
      <c r="O114" s="61">
        <f>20+2</f>
        <v>22</v>
      </c>
      <c r="P114" s="62" t="s">
        <v>39</v>
      </c>
      <c r="Q114" s="61">
        <f>424+49</f>
        <v>473</v>
      </c>
      <c r="R114" s="61">
        <v>43</v>
      </c>
      <c r="S114" s="61">
        <v>585</v>
      </c>
      <c r="T114" s="62" t="s">
        <v>76</v>
      </c>
      <c r="U114" s="62" t="s">
        <v>77</v>
      </c>
      <c r="V114" s="61">
        <v>421</v>
      </c>
      <c r="W114" s="61">
        <v>208</v>
      </c>
      <c r="X114" s="62">
        <v>1214</v>
      </c>
      <c r="Y114" s="62">
        <v>23</v>
      </c>
      <c r="Z114" s="62">
        <v>12</v>
      </c>
      <c r="AA114" s="62">
        <v>80</v>
      </c>
      <c r="AB114" s="62">
        <v>44</v>
      </c>
      <c r="AC114" s="62" t="s">
        <v>42</v>
      </c>
      <c r="AD114" s="62" t="s">
        <v>42</v>
      </c>
      <c r="AE114" s="63">
        <v>424</v>
      </c>
      <c r="AF114" s="63">
        <v>143</v>
      </c>
      <c r="AG114" s="63">
        <v>49</v>
      </c>
      <c r="AH114" s="63">
        <v>18</v>
      </c>
      <c r="AI114" s="61">
        <v>20</v>
      </c>
      <c r="AJ114" s="61">
        <v>20</v>
      </c>
      <c r="AK114" s="61">
        <v>2</v>
      </c>
      <c r="AL114" s="61">
        <v>3</v>
      </c>
      <c r="AM114" s="61">
        <v>585</v>
      </c>
      <c r="AN114" s="61">
        <v>43</v>
      </c>
      <c r="AO114" s="64">
        <v>21.13</v>
      </c>
      <c r="AP114" s="64">
        <v>7.198</v>
      </c>
      <c r="AQ114" s="64">
        <v>20.207</v>
      </c>
      <c r="AR114" s="64">
        <v>5.62</v>
      </c>
      <c r="AS114" s="9"/>
    </row>
    <row r="115" spans="1:45" ht="89.25">
      <c r="A115" s="56">
        <v>67</v>
      </c>
      <c r="B115" s="57" t="s">
        <v>351</v>
      </c>
      <c r="C115" s="58">
        <v>-0.3969</v>
      </c>
      <c r="D115" s="59">
        <v>8.1</v>
      </c>
      <c r="E115" s="59"/>
      <c r="F115" s="59">
        <v>8.1</v>
      </c>
      <c r="G115" s="59">
        <v>-3</v>
      </c>
      <c r="H115" s="59"/>
      <c r="I115" s="59">
        <v>-3</v>
      </c>
      <c r="J115" s="59"/>
      <c r="K115" s="60">
        <v>7.198</v>
      </c>
      <c r="L115" s="59">
        <v>-23</v>
      </c>
      <c r="M115" s="59"/>
      <c r="N115" s="59">
        <v>-23</v>
      </c>
      <c r="O115" s="61">
        <f>0+0</f>
        <v>0</v>
      </c>
      <c r="P115" s="62" t="s">
        <v>39</v>
      </c>
      <c r="Q115" s="61">
        <f>0+0</f>
        <v>0</v>
      </c>
      <c r="R115" s="61">
        <v>-3</v>
      </c>
      <c r="S115" s="61">
        <v>-23</v>
      </c>
      <c r="T115" s="62" t="s">
        <v>352</v>
      </c>
      <c r="U115" s="62" t="s">
        <v>353</v>
      </c>
      <c r="V115" s="61"/>
      <c r="W115" s="61"/>
      <c r="X115" s="62">
        <v>-23</v>
      </c>
      <c r="Y115" s="62"/>
      <c r="Z115" s="62"/>
      <c r="AA115" s="62">
        <v>0</v>
      </c>
      <c r="AB115" s="62">
        <v>0</v>
      </c>
      <c r="AC115" s="62" t="s">
        <v>42</v>
      </c>
      <c r="AD115" s="62" t="s">
        <v>42</v>
      </c>
      <c r="AE115" s="63"/>
      <c r="AF115" s="63">
        <v>-23</v>
      </c>
      <c r="AG115" s="63"/>
      <c r="AH115" s="63"/>
      <c r="AI115" s="61"/>
      <c r="AJ115" s="61">
        <v>-3</v>
      </c>
      <c r="AK115" s="61"/>
      <c r="AL115" s="61"/>
      <c r="AM115" s="61">
        <v>-23</v>
      </c>
      <c r="AN115" s="61">
        <v>-3</v>
      </c>
      <c r="AO115" s="64" t="s">
        <v>20</v>
      </c>
      <c r="AP115" s="64">
        <v>7.198</v>
      </c>
      <c r="AQ115" s="64" t="s">
        <v>20</v>
      </c>
      <c r="AR115" s="64" t="s">
        <v>20</v>
      </c>
      <c r="AS115" s="9"/>
    </row>
    <row r="116" spans="1:45" ht="38.25">
      <c r="A116" s="56">
        <v>68</v>
      </c>
      <c r="B116" s="57" t="s">
        <v>354</v>
      </c>
      <c r="C116" s="58">
        <v>-0.00032</v>
      </c>
      <c r="D116" s="59">
        <v>10315.01</v>
      </c>
      <c r="E116" s="59" t="s">
        <v>355</v>
      </c>
      <c r="F116" s="59"/>
      <c r="G116" s="59">
        <v>-3</v>
      </c>
      <c r="H116" s="59" t="s">
        <v>356</v>
      </c>
      <c r="I116" s="59"/>
      <c r="J116" s="59" t="s">
        <v>357</v>
      </c>
      <c r="K116" s="60"/>
      <c r="L116" s="59">
        <v>-19</v>
      </c>
      <c r="M116" s="59" t="s">
        <v>358</v>
      </c>
      <c r="N116" s="59"/>
      <c r="O116" s="61">
        <f>0+0</f>
        <v>0</v>
      </c>
      <c r="P116" s="62" t="s">
        <v>120</v>
      </c>
      <c r="Q116" s="61">
        <f>0+0</f>
        <v>0</v>
      </c>
      <c r="R116" s="61">
        <v>-3</v>
      </c>
      <c r="S116" s="61">
        <v>-19</v>
      </c>
      <c r="T116" s="62"/>
      <c r="U116" s="62"/>
      <c r="V116" s="61"/>
      <c r="W116" s="61"/>
      <c r="X116" s="62">
        <v>-19</v>
      </c>
      <c r="Y116" s="62"/>
      <c r="Z116" s="62"/>
      <c r="AA116" s="62">
        <v>0</v>
      </c>
      <c r="AB116" s="62">
        <v>0</v>
      </c>
      <c r="AC116" s="62" t="s">
        <v>42</v>
      </c>
      <c r="AD116" s="62" t="s">
        <v>42</v>
      </c>
      <c r="AE116" s="63"/>
      <c r="AF116" s="63"/>
      <c r="AG116" s="63"/>
      <c r="AH116" s="63">
        <v>-19</v>
      </c>
      <c r="AI116" s="61"/>
      <c r="AJ116" s="61"/>
      <c r="AK116" s="61"/>
      <c r="AL116" s="61">
        <v>-3</v>
      </c>
      <c r="AM116" s="61">
        <v>-19</v>
      </c>
      <c r="AN116" s="61">
        <v>-3</v>
      </c>
      <c r="AO116" s="64" t="s">
        <v>20</v>
      </c>
      <c r="AP116" s="64" t="s">
        <v>20</v>
      </c>
      <c r="AQ116" s="64" t="s">
        <v>20</v>
      </c>
      <c r="AR116" s="64">
        <v>5.62</v>
      </c>
      <c r="AS116" s="9"/>
    </row>
    <row r="117" spans="1:45" ht="38.25">
      <c r="A117" s="56">
        <v>69</v>
      </c>
      <c r="B117" s="57" t="s">
        <v>359</v>
      </c>
      <c r="C117" s="58">
        <v>9</v>
      </c>
      <c r="D117" s="59">
        <v>272.64</v>
      </c>
      <c r="E117" s="59" t="s">
        <v>360</v>
      </c>
      <c r="F117" s="59"/>
      <c r="G117" s="59">
        <v>2454</v>
      </c>
      <c r="H117" s="59" t="s">
        <v>361</v>
      </c>
      <c r="I117" s="59"/>
      <c r="J117" s="59" t="s">
        <v>81</v>
      </c>
      <c r="K117" s="60"/>
      <c r="L117" s="59">
        <v>18305</v>
      </c>
      <c r="M117" s="59" t="s">
        <v>362</v>
      </c>
      <c r="N117" s="59"/>
      <c r="O117" s="61">
        <f>0+0</f>
        <v>0</v>
      </c>
      <c r="P117" s="62" t="s">
        <v>120</v>
      </c>
      <c r="Q117" s="61">
        <f>0+0</f>
        <v>0</v>
      </c>
      <c r="R117" s="61">
        <v>2454</v>
      </c>
      <c r="S117" s="61">
        <v>18305</v>
      </c>
      <c r="T117" s="62"/>
      <c r="U117" s="62"/>
      <c r="V117" s="61"/>
      <c r="W117" s="61"/>
      <c r="X117" s="62">
        <v>18305</v>
      </c>
      <c r="Y117" s="62"/>
      <c r="Z117" s="62"/>
      <c r="AA117" s="62">
        <v>0</v>
      </c>
      <c r="AB117" s="62">
        <v>0</v>
      </c>
      <c r="AC117" s="62" t="s">
        <v>42</v>
      </c>
      <c r="AD117" s="62" t="s">
        <v>42</v>
      </c>
      <c r="AE117" s="63"/>
      <c r="AF117" s="63"/>
      <c r="AG117" s="63"/>
      <c r="AH117" s="63">
        <v>18305</v>
      </c>
      <c r="AI117" s="61"/>
      <c r="AJ117" s="61"/>
      <c r="AK117" s="61"/>
      <c r="AL117" s="61">
        <v>2454</v>
      </c>
      <c r="AM117" s="61">
        <v>18305</v>
      </c>
      <c r="AN117" s="61">
        <v>2454</v>
      </c>
      <c r="AO117" s="64" t="s">
        <v>20</v>
      </c>
      <c r="AP117" s="64" t="s">
        <v>20</v>
      </c>
      <c r="AQ117" s="64" t="s">
        <v>20</v>
      </c>
      <c r="AR117" s="64">
        <v>7.46</v>
      </c>
      <c r="AS117" s="9"/>
    </row>
    <row r="118" spans="1:45" ht="51">
      <c r="A118" s="56">
        <v>70</v>
      </c>
      <c r="B118" s="57" t="s">
        <v>363</v>
      </c>
      <c r="C118" s="58">
        <v>18</v>
      </c>
      <c r="D118" s="59">
        <v>1142.82</v>
      </c>
      <c r="E118" s="59" t="s">
        <v>364</v>
      </c>
      <c r="F118" s="59"/>
      <c r="G118" s="59">
        <v>20571</v>
      </c>
      <c r="H118" s="59" t="s">
        <v>365</v>
      </c>
      <c r="I118" s="59"/>
      <c r="J118" s="59" t="s">
        <v>81</v>
      </c>
      <c r="K118" s="60"/>
      <c r="L118" s="59">
        <v>153458</v>
      </c>
      <c r="M118" s="59" t="s">
        <v>366</v>
      </c>
      <c r="N118" s="59"/>
      <c r="O118" s="61">
        <f>0+0</f>
        <v>0</v>
      </c>
      <c r="P118" s="62" t="s">
        <v>120</v>
      </c>
      <c r="Q118" s="61">
        <f>0+0</f>
        <v>0</v>
      </c>
      <c r="R118" s="61">
        <v>20571</v>
      </c>
      <c r="S118" s="61">
        <v>153458</v>
      </c>
      <c r="T118" s="62"/>
      <c r="U118" s="62"/>
      <c r="V118" s="61"/>
      <c r="W118" s="61"/>
      <c r="X118" s="62">
        <v>153458</v>
      </c>
      <c r="Y118" s="62"/>
      <c r="Z118" s="62"/>
      <c r="AA118" s="62">
        <v>0</v>
      </c>
      <c r="AB118" s="62">
        <v>0</v>
      </c>
      <c r="AC118" s="62" t="s">
        <v>42</v>
      </c>
      <c r="AD118" s="62" t="s">
        <v>42</v>
      </c>
      <c r="AE118" s="63"/>
      <c r="AF118" s="63"/>
      <c r="AG118" s="63"/>
      <c r="AH118" s="63">
        <v>153458</v>
      </c>
      <c r="AI118" s="61"/>
      <c r="AJ118" s="61"/>
      <c r="AK118" s="61"/>
      <c r="AL118" s="61">
        <v>20571</v>
      </c>
      <c r="AM118" s="61">
        <v>153458</v>
      </c>
      <c r="AN118" s="61">
        <v>20571</v>
      </c>
      <c r="AO118" s="64" t="s">
        <v>20</v>
      </c>
      <c r="AP118" s="64" t="s">
        <v>20</v>
      </c>
      <c r="AQ118" s="64" t="s">
        <v>20</v>
      </c>
      <c r="AR118" s="64">
        <v>7.46</v>
      </c>
      <c r="AS118" s="9"/>
    </row>
    <row r="119" spans="1:45" ht="12.75">
      <c r="A119" s="87" t="s">
        <v>67</v>
      </c>
      <c r="B119" s="88"/>
      <c r="C119" s="88"/>
      <c r="D119" s="88"/>
      <c r="E119" s="88"/>
      <c r="F119" s="88"/>
      <c r="G119" s="84">
        <v>23517</v>
      </c>
      <c r="H119" s="59"/>
      <c r="I119" s="59"/>
      <c r="J119" s="59"/>
      <c r="K119" s="60"/>
      <c r="L119" s="84">
        <v>175785</v>
      </c>
      <c r="M119" s="59"/>
      <c r="N119" s="59"/>
      <c r="O119" s="65" t="s">
        <v>60</v>
      </c>
      <c r="P119" s="66" t="s">
        <v>60</v>
      </c>
      <c r="Q119" s="65" t="s">
        <v>60</v>
      </c>
      <c r="R119" s="65" t="s">
        <v>60</v>
      </c>
      <c r="S119" s="65" t="s">
        <v>60</v>
      </c>
      <c r="T119" s="66" t="s">
        <v>60</v>
      </c>
      <c r="U119" s="66" t="s">
        <v>60</v>
      </c>
      <c r="V119" s="65" t="s">
        <v>60</v>
      </c>
      <c r="W119" s="65" t="s">
        <v>60</v>
      </c>
      <c r="X119" s="66" t="s">
        <v>60</v>
      </c>
      <c r="Y119" s="66" t="s">
        <v>60</v>
      </c>
      <c r="Z119" s="66" t="s">
        <v>60</v>
      </c>
      <c r="AA119" s="66" t="s">
        <v>60</v>
      </c>
      <c r="AB119" s="66" t="s">
        <v>60</v>
      </c>
      <c r="AC119" s="66" t="s">
        <v>60</v>
      </c>
      <c r="AD119" s="66" t="s">
        <v>60</v>
      </c>
      <c r="AE119" s="67" t="s">
        <v>60</v>
      </c>
      <c r="AF119" s="67" t="s">
        <v>60</v>
      </c>
      <c r="AG119" s="67" t="s">
        <v>60</v>
      </c>
      <c r="AH119" s="67" t="s">
        <v>60</v>
      </c>
      <c r="AI119" s="65" t="s">
        <v>60</v>
      </c>
      <c r="AJ119" s="65" t="s">
        <v>60</v>
      </c>
      <c r="AK119" s="65" t="s">
        <v>60</v>
      </c>
      <c r="AL119" s="65" t="s">
        <v>60</v>
      </c>
      <c r="AM119" s="65"/>
      <c r="AN119" s="65"/>
      <c r="AO119" s="68" t="s">
        <v>60</v>
      </c>
      <c r="AP119" s="68" t="s">
        <v>60</v>
      </c>
      <c r="AQ119" s="68" t="s">
        <v>60</v>
      </c>
      <c r="AR119" s="68" t="s">
        <v>60</v>
      </c>
      <c r="AS119" s="9"/>
    </row>
    <row r="120" spans="1:45" ht="38.25" customHeight="1">
      <c r="A120" s="87" t="s">
        <v>465</v>
      </c>
      <c r="B120" s="91"/>
      <c r="C120" s="91"/>
      <c r="D120" s="91"/>
      <c r="E120" s="91"/>
      <c r="F120" s="91"/>
      <c r="G120" s="84"/>
      <c r="H120" s="59"/>
      <c r="I120" s="59"/>
      <c r="J120" s="59"/>
      <c r="K120" s="60"/>
      <c r="L120" s="84"/>
      <c r="M120" s="59"/>
      <c r="N120" s="59"/>
      <c r="O120" s="65"/>
      <c r="P120" s="66"/>
      <c r="Q120" s="65"/>
      <c r="R120" s="65"/>
      <c r="S120" s="65"/>
      <c r="T120" s="66"/>
      <c r="U120" s="66"/>
      <c r="V120" s="65"/>
      <c r="W120" s="65"/>
      <c r="X120" s="66"/>
      <c r="Y120" s="66"/>
      <c r="Z120" s="66"/>
      <c r="AA120" s="66"/>
      <c r="AB120" s="66"/>
      <c r="AC120" s="66"/>
      <c r="AD120" s="66"/>
      <c r="AE120" s="67"/>
      <c r="AF120" s="67"/>
      <c r="AG120" s="67"/>
      <c r="AH120" s="67"/>
      <c r="AI120" s="65"/>
      <c r="AJ120" s="65"/>
      <c r="AK120" s="65"/>
      <c r="AL120" s="65"/>
      <c r="AM120" s="65"/>
      <c r="AN120" s="65"/>
      <c r="AO120" s="68"/>
      <c r="AP120" s="68"/>
      <c r="AQ120" s="68"/>
      <c r="AR120" s="68"/>
      <c r="AS120" s="9"/>
    </row>
    <row r="121" spans="1:45" ht="27.75" customHeight="1">
      <c r="A121" s="89" t="s">
        <v>367</v>
      </c>
      <c r="B121" s="90"/>
      <c r="C121" s="90"/>
      <c r="D121" s="90"/>
      <c r="E121" s="90"/>
      <c r="F121" s="90"/>
      <c r="G121" s="85">
        <v>23517</v>
      </c>
      <c r="H121" s="69"/>
      <c r="I121" s="69"/>
      <c r="J121" s="69"/>
      <c r="K121" s="70"/>
      <c r="L121" s="85">
        <v>239209</v>
      </c>
      <c r="M121" s="69"/>
      <c r="N121" s="69"/>
      <c r="O121" s="71" t="s">
        <v>60</v>
      </c>
      <c r="P121" s="72" t="s">
        <v>60</v>
      </c>
      <c r="Q121" s="71" t="s">
        <v>60</v>
      </c>
      <c r="R121" s="71" t="s">
        <v>60</v>
      </c>
      <c r="S121" s="71" t="s">
        <v>60</v>
      </c>
      <c r="T121" s="72" t="s">
        <v>60</v>
      </c>
      <c r="U121" s="72" t="s">
        <v>60</v>
      </c>
      <c r="V121" s="71" t="s">
        <v>60</v>
      </c>
      <c r="W121" s="71" t="s">
        <v>60</v>
      </c>
      <c r="X121" s="72" t="s">
        <v>60</v>
      </c>
      <c r="Y121" s="72" t="s">
        <v>60</v>
      </c>
      <c r="Z121" s="72" t="s">
        <v>60</v>
      </c>
      <c r="AA121" s="72" t="s">
        <v>60</v>
      </c>
      <c r="AB121" s="72" t="s">
        <v>60</v>
      </c>
      <c r="AC121" s="72" t="s">
        <v>60</v>
      </c>
      <c r="AD121" s="72" t="s">
        <v>60</v>
      </c>
      <c r="AE121" s="73" t="s">
        <v>60</v>
      </c>
      <c r="AF121" s="73" t="s">
        <v>60</v>
      </c>
      <c r="AG121" s="73" t="s">
        <v>60</v>
      </c>
      <c r="AH121" s="73" t="s">
        <v>60</v>
      </c>
      <c r="AI121" s="71" t="s">
        <v>60</v>
      </c>
      <c r="AJ121" s="71" t="s">
        <v>60</v>
      </c>
      <c r="AK121" s="71" t="s">
        <v>60</v>
      </c>
      <c r="AL121" s="71" t="s">
        <v>60</v>
      </c>
      <c r="AM121" s="71"/>
      <c r="AN121" s="71"/>
      <c r="AO121" s="74" t="s">
        <v>60</v>
      </c>
      <c r="AP121" s="74" t="s">
        <v>60</v>
      </c>
      <c r="AQ121" s="74" t="s">
        <v>60</v>
      </c>
      <c r="AR121" s="74" t="s">
        <v>60</v>
      </c>
      <c r="AS121" s="9"/>
    </row>
    <row r="122" spans="1:45" ht="21" customHeight="1">
      <c r="A122" s="92" t="s">
        <v>368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"/>
    </row>
    <row r="123" spans="1:45" ht="102">
      <c r="A123" s="56">
        <v>71</v>
      </c>
      <c r="B123" s="57" t="s">
        <v>369</v>
      </c>
      <c r="C123" s="58">
        <v>0.06</v>
      </c>
      <c r="D123" s="59">
        <v>2184</v>
      </c>
      <c r="E123" s="59">
        <v>2184</v>
      </c>
      <c r="F123" s="59"/>
      <c r="G123" s="59">
        <v>131</v>
      </c>
      <c r="H123" s="59">
        <v>131</v>
      </c>
      <c r="I123" s="59"/>
      <c r="J123" s="59">
        <v>21.13</v>
      </c>
      <c r="K123" s="60"/>
      <c r="L123" s="59">
        <v>2769</v>
      </c>
      <c r="M123" s="59">
        <v>2769</v>
      </c>
      <c r="N123" s="59"/>
      <c r="O123" s="61">
        <f>131+0</f>
        <v>131</v>
      </c>
      <c r="P123" s="62" t="s">
        <v>39</v>
      </c>
      <c r="Q123" s="61">
        <f>2769+0</f>
        <v>2769</v>
      </c>
      <c r="R123" s="61">
        <v>131</v>
      </c>
      <c r="S123" s="61">
        <v>2769</v>
      </c>
      <c r="T123" s="62" t="s">
        <v>98</v>
      </c>
      <c r="U123" s="62" t="s">
        <v>99</v>
      </c>
      <c r="V123" s="61">
        <v>1883</v>
      </c>
      <c r="W123" s="61">
        <v>858</v>
      </c>
      <c r="X123" s="62">
        <v>5510</v>
      </c>
      <c r="Y123" s="62">
        <v>105</v>
      </c>
      <c r="Z123" s="62">
        <v>50</v>
      </c>
      <c r="AA123" s="62">
        <v>61</v>
      </c>
      <c r="AB123" s="62">
        <v>31</v>
      </c>
      <c r="AC123" s="62" t="s">
        <v>42</v>
      </c>
      <c r="AD123" s="62" t="s">
        <v>42</v>
      </c>
      <c r="AE123" s="63">
        <v>2769</v>
      </c>
      <c r="AF123" s="63"/>
      <c r="AG123" s="63"/>
      <c r="AH123" s="63"/>
      <c r="AI123" s="61">
        <v>131</v>
      </c>
      <c r="AJ123" s="61"/>
      <c r="AK123" s="61"/>
      <c r="AL123" s="61"/>
      <c r="AM123" s="61">
        <v>2769</v>
      </c>
      <c r="AN123" s="61">
        <v>131</v>
      </c>
      <c r="AO123" s="64">
        <v>21.13</v>
      </c>
      <c r="AP123" s="64" t="s">
        <v>20</v>
      </c>
      <c r="AQ123" s="64" t="s">
        <v>20</v>
      </c>
      <c r="AR123" s="64" t="s">
        <v>20</v>
      </c>
      <c r="AS123" s="9"/>
    </row>
    <row r="124" spans="1:45" ht="76.5">
      <c r="A124" s="56">
        <v>72</v>
      </c>
      <c r="B124" s="57" t="s">
        <v>370</v>
      </c>
      <c r="C124" s="58">
        <v>0.05</v>
      </c>
      <c r="D124" s="59">
        <v>3897.23</v>
      </c>
      <c r="E124" s="59" t="s">
        <v>334</v>
      </c>
      <c r="F124" s="59" t="s">
        <v>335</v>
      </c>
      <c r="G124" s="59">
        <v>194</v>
      </c>
      <c r="H124" s="59" t="s">
        <v>371</v>
      </c>
      <c r="I124" s="59" t="s">
        <v>372</v>
      </c>
      <c r="J124" s="59" t="s">
        <v>338</v>
      </c>
      <c r="K124" s="60" t="s">
        <v>339</v>
      </c>
      <c r="L124" s="59">
        <v>2387</v>
      </c>
      <c r="M124" s="59" t="s">
        <v>373</v>
      </c>
      <c r="N124" s="59" t="s">
        <v>374</v>
      </c>
      <c r="O124" s="61">
        <f>70+12</f>
        <v>82</v>
      </c>
      <c r="P124" s="62" t="s">
        <v>39</v>
      </c>
      <c r="Q124" s="61">
        <f>1483+247</f>
        <v>1730</v>
      </c>
      <c r="R124" s="61">
        <v>194</v>
      </c>
      <c r="S124" s="61">
        <v>2387</v>
      </c>
      <c r="T124" s="62" t="s">
        <v>76</v>
      </c>
      <c r="U124" s="62" t="s">
        <v>77</v>
      </c>
      <c r="V124" s="61">
        <v>1540</v>
      </c>
      <c r="W124" s="61">
        <v>761</v>
      </c>
      <c r="X124" s="62">
        <v>4688</v>
      </c>
      <c r="Y124" s="62">
        <v>86</v>
      </c>
      <c r="Z124" s="62">
        <v>45</v>
      </c>
      <c r="AA124" s="62">
        <v>80</v>
      </c>
      <c r="AB124" s="62">
        <v>44</v>
      </c>
      <c r="AC124" s="62" t="s">
        <v>42</v>
      </c>
      <c r="AD124" s="62" t="s">
        <v>42</v>
      </c>
      <c r="AE124" s="63">
        <v>1483</v>
      </c>
      <c r="AF124" s="63">
        <v>563</v>
      </c>
      <c r="AG124" s="63">
        <v>247</v>
      </c>
      <c r="AH124" s="63">
        <v>341</v>
      </c>
      <c r="AI124" s="61">
        <v>70</v>
      </c>
      <c r="AJ124" s="61">
        <v>79</v>
      </c>
      <c r="AK124" s="61">
        <v>12</v>
      </c>
      <c r="AL124" s="61">
        <v>45</v>
      </c>
      <c r="AM124" s="61">
        <v>2387</v>
      </c>
      <c r="AN124" s="61">
        <v>194</v>
      </c>
      <c r="AO124" s="64">
        <v>21.13</v>
      </c>
      <c r="AP124" s="64">
        <v>7.097</v>
      </c>
      <c r="AQ124" s="64">
        <v>20.225</v>
      </c>
      <c r="AR124" s="64">
        <v>7.522</v>
      </c>
      <c r="AS124" s="9"/>
    </row>
    <row r="125" spans="1:45" ht="38.25">
      <c r="A125" s="56">
        <v>73</v>
      </c>
      <c r="B125" s="57" t="s">
        <v>149</v>
      </c>
      <c r="C125" s="58">
        <v>0.51</v>
      </c>
      <c r="D125" s="59">
        <v>560</v>
      </c>
      <c r="E125" s="59" t="s">
        <v>150</v>
      </c>
      <c r="F125" s="59"/>
      <c r="G125" s="59">
        <v>286</v>
      </c>
      <c r="H125" s="59" t="s">
        <v>375</v>
      </c>
      <c r="I125" s="59"/>
      <c r="J125" s="59" t="s">
        <v>152</v>
      </c>
      <c r="K125" s="60"/>
      <c r="L125" s="59">
        <v>1401</v>
      </c>
      <c r="M125" s="59" t="s">
        <v>376</v>
      </c>
      <c r="N125" s="59"/>
      <c r="O125" s="61">
        <f>0+0</f>
        <v>0</v>
      </c>
      <c r="P125" s="62" t="s">
        <v>120</v>
      </c>
      <c r="Q125" s="61">
        <f>0+0</f>
        <v>0</v>
      </c>
      <c r="R125" s="61">
        <v>286</v>
      </c>
      <c r="S125" s="61">
        <v>1401</v>
      </c>
      <c r="T125" s="62"/>
      <c r="U125" s="62"/>
      <c r="V125" s="61"/>
      <c r="W125" s="61"/>
      <c r="X125" s="62">
        <v>1401</v>
      </c>
      <c r="Y125" s="62"/>
      <c r="Z125" s="62"/>
      <c r="AA125" s="62">
        <v>80</v>
      </c>
      <c r="AB125" s="62">
        <v>44</v>
      </c>
      <c r="AC125" s="62" t="s">
        <v>42</v>
      </c>
      <c r="AD125" s="62" t="s">
        <v>42</v>
      </c>
      <c r="AE125" s="63"/>
      <c r="AF125" s="63"/>
      <c r="AG125" s="63"/>
      <c r="AH125" s="63">
        <v>1401</v>
      </c>
      <c r="AI125" s="61"/>
      <c r="AJ125" s="61"/>
      <c r="AK125" s="61"/>
      <c r="AL125" s="61">
        <v>286</v>
      </c>
      <c r="AM125" s="61">
        <v>1401</v>
      </c>
      <c r="AN125" s="61">
        <v>286</v>
      </c>
      <c r="AO125" s="64" t="s">
        <v>20</v>
      </c>
      <c r="AP125" s="64" t="s">
        <v>20</v>
      </c>
      <c r="AQ125" s="64" t="s">
        <v>20</v>
      </c>
      <c r="AR125" s="64">
        <v>4.904</v>
      </c>
      <c r="AS125" s="9"/>
    </row>
    <row r="126" spans="1:45" ht="17.25" customHeight="1">
      <c r="A126" s="94" t="s">
        <v>377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"/>
    </row>
    <row r="127" spans="1:45" ht="38.25">
      <c r="A127" s="56">
        <v>74</v>
      </c>
      <c r="B127" s="57" t="s">
        <v>378</v>
      </c>
      <c r="C127" s="58">
        <v>1</v>
      </c>
      <c r="D127" s="59">
        <v>3360.29</v>
      </c>
      <c r="E127" s="59" t="s">
        <v>379</v>
      </c>
      <c r="F127" s="59"/>
      <c r="G127" s="59">
        <v>3360</v>
      </c>
      <c r="H127" s="59" t="s">
        <v>380</v>
      </c>
      <c r="I127" s="59"/>
      <c r="J127" s="59" t="s">
        <v>81</v>
      </c>
      <c r="K127" s="60"/>
      <c r="L127" s="59">
        <v>25068</v>
      </c>
      <c r="M127" s="59" t="s">
        <v>381</v>
      </c>
      <c r="N127" s="59"/>
      <c r="O127" s="61">
        <f>0+0</f>
        <v>0</v>
      </c>
      <c r="P127" s="62" t="s">
        <v>120</v>
      </c>
      <c r="Q127" s="61">
        <f>0+0</f>
        <v>0</v>
      </c>
      <c r="R127" s="61">
        <v>3360</v>
      </c>
      <c r="S127" s="61">
        <v>25068</v>
      </c>
      <c r="T127" s="62"/>
      <c r="U127" s="62"/>
      <c r="V127" s="61"/>
      <c r="W127" s="61"/>
      <c r="X127" s="62">
        <v>25068</v>
      </c>
      <c r="Y127" s="62"/>
      <c r="Z127" s="62"/>
      <c r="AA127" s="62">
        <v>0</v>
      </c>
      <c r="AB127" s="62">
        <v>0</v>
      </c>
      <c r="AC127" s="62" t="s">
        <v>42</v>
      </c>
      <c r="AD127" s="62" t="s">
        <v>42</v>
      </c>
      <c r="AE127" s="63"/>
      <c r="AF127" s="63"/>
      <c r="AG127" s="63"/>
      <c r="AH127" s="63">
        <v>25068</v>
      </c>
      <c r="AI127" s="61"/>
      <c r="AJ127" s="61"/>
      <c r="AK127" s="61"/>
      <c r="AL127" s="61">
        <v>3360</v>
      </c>
      <c r="AM127" s="61">
        <v>25068</v>
      </c>
      <c r="AN127" s="61">
        <v>3360</v>
      </c>
      <c r="AO127" s="64" t="s">
        <v>20</v>
      </c>
      <c r="AP127" s="64" t="s">
        <v>20</v>
      </c>
      <c r="AQ127" s="64" t="s">
        <v>20</v>
      </c>
      <c r="AR127" s="64">
        <v>7.46</v>
      </c>
      <c r="AS127" s="9"/>
    </row>
    <row r="128" spans="1:45" ht="38.25">
      <c r="A128" s="56">
        <v>76</v>
      </c>
      <c r="B128" s="57" t="s">
        <v>382</v>
      </c>
      <c r="C128" s="58">
        <v>1</v>
      </c>
      <c r="D128" s="59">
        <v>1425.23</v>
      </c>
      <c r="E128" s="59" t="s">
        <v>383</v>
      </c>
      <c r="F128" s="59"/>
      <c r="G128" s="59">
        <v>1425</v>
      </c>
      <c r="H128" s="59" t="s">
        <v>384</v>
      </c>
      <c r="I128" s="59"/>
      <c r="J128" s="59" t="s">
        <v>81</v>
      </c>
      <c r="K128" s="60"/>
      <c r="L128" s="59">
        <v>10632</v>
      </c>
      <c r="M128" s="59" t="s">
        <v>385</v>
      </c>
      <c r="N128" s="59"/>
      <c r="O128" s="61">
        <f>0+0</f>
        <v>0</v>
      </c>
      <c r="P128" s="62" t="s">
        <v>120</v>
      </c>
      <c r="Q128" s="61">
        <f>0+0</f>
        <v>0</v>
      </c>
      <c r="R128" s="61">
        <v>1425</v>
      </c>
      <c r="S128" s="61">
        <v>10632</v>
      </c>
      <c r="T128" s="62"/>
      <c r="U128" s="62"/>
      <c r="V128" s="61"/>
      <c r="W128" s="61"/>
      <c r="X128" s="62">
        <v>10632</v>
      </c>
      <c r="Y128" s="62"/>
      <c r="Z128" s="62"/>
      <c r="AA128" s="62">
        <v>0</v>
      </c>
      <c r="AB128" s="62">
        <v>0</v>
      </c>
      <c r="AC128" s="62" t="s">
        <v>42</v>
      </c>
      <c r="AD128" s="62" t="s">
        <v>42</v>
      </c>
      <c r="AE128" s="63"/>
      <c r="AF128" s="63"/>
      <c r="AG128" s="63"/>
      <c r="AH128" s="63">
        <v>10632</v>
      </c>
      <c r="AI128" s="61"/>
      <c r="AJ128" s="61"/>
      <c r="AK128" s="61"/>
      <c r="AL128" s="61">
        <v>1425</v>
      </c>
      <c r="AM128" s="61">
        <v>10632</v>
      </c>
      <c r="AN128" s="61">
        <v>1425</v>
      </c>
      <c r="AO128" s="64" t="s">
        <v>20</v>
      </c>
      <c r="AP128" s="64" t="s">
        <v>20</v>
      </c>
      <c r="AQ128" s="64" t="s">
        <v>20</v>
      </c>
      <c r="AR128" s="64">
        <v>7.46</v>
      </c>
      <c r="AS128" s="9"/>
    </row>
    <row r="129" spans="1:45" ht="12.75">
      <c r="A129" s="87" t="s">
        <v>67</v>
      </c>
      <c r="B129" s="88"/>
      <c r="C129" s="88"/>
      <c r="D129" s="88"/>
      <c r="E129" s="88"/>
      <c r="F129" s="88"/>
      <c r="G129" s="84">
        <v>5682</v>
      </c>
      <c r="H129" s="59"/>
      <c r="I129" s="59"/>
      <c r="J129" s="59"/>
      <c r="K129" s="60"/>
      <c r="L129" s="84">
        <v>47299</v>
      </c>
      <c r="M129" s="59"/>
      <c r="N129" s="59"/>
      <c r="O129" s="65" t="s">
        <v>60</v>
      </c>
      <c r="P129" s="66" t="s">
        <v>60</v>
      </c>
      <c r="Q129" s="65" t="s">
        <v>60</v>
      </c>
      <c r="R129" s="65" t="s">
        <v>60</v>
      </c>
      <c r="S129" s="65" t="s">
        <v>60</v>
      </c>
      <c r="T129" s="66" t="s">
        <v>60</v>
      </c>
      <c r="U129" s="66" t="s">
        <v>60</v>
      </c>
      <c r="V129" s="65" t="s">
        <v>60</v>
      </c>
      <c r="W129" s="65" t="s">
        <v>60</v>
      </c>
      <c r="X129" s="66" t="s">
        <v>60</v>
      </c>
      <c r="Y129" s="66" t="s">
        <v>60</v>
      </c>
      <c r="Z129" s="66" t="s">
        <v>60</v>
      </c>
      <c r="AA129" s="66" t="s">
        <v>60</v>
      </c>
      <c r="AB129" s="66" t="s">
        <v>60</v>
      </c>
      <c r="AC129" s="66" t="s">
        <v>60</v>
      </c>
      <c r="AD129" s="66" t="s">
        <v>60</v>
      </c>
      <c r="AE129" s="67" t="s">
        <v>60</v>
      </c>
      <c r="AF129" s="67" t="s">
        <v>60</v>
      </c>
      <c r="AG129" s="67" t="s">
        <v>60</v>
      </c>
      <c r="AH129" s="67" t="s">
        <v>60</v>
      </c>
      <c r="AI129" s="65" t="s">
        <v>60</v>
      </c>
      <c r="AJ129" s="65" t="s">
        <v>60</v>
      </c>
      <c r="AK129" s="65" t="s">
        <v>60</v>
      </c>
      <c r="AL129" s="65" t="s">
        <v>60</v>
      </c>
      <c r="AM129" s="65"/>
      <c r="AN129" s="65"/>
      <c r="AO129" s="68" t="s">
        <v>60</v>
      </c>
      <c r="AP129" s="68" t="s">
        <v>60</v>
      </c>
      <c r="AQ129" s="68" t="s">
        <v>60</v>
      </c>
      <c r="AR129" s="68" t="s">
        <v>60</v>
      </c>
      <c r="AS129" s="9"/>
    </row>
    <row r="130" spans="1:45" ht="42" customHeight="1">
      <c r="A130" s="87" t="s">
        <v>459</v>
      </c>
      <c r="B130" s="88"/>
      <c r="C130" s="88"/>
      <c r="D130" s="88"/>
      <c r="E130" s="88"/>
      <c r="F130" s="88"/>
      <c r="G130" s="84"/>
      <c r="H130" s="59"/>
      <c r="I130" s="59"/>
      <c r="J130" s="59"/>
      <c r="K130" s="60"/>
      <c r="L130" s="84">
        <v>64364</v>
      </c>
      <c r="M130" s="59"/>
      <c r="N130" s="59"/>
      <c r="O130" s="65" t="s">
        <v>60</v>
      </c>
      <c r="P130" s="66" t="s">
        <v>60</v>
      </c>
      <c r="Q130" s="65" t="s">
        <v>60</v>
      </c>
      <c r="R130" s="65" t="s">
        <v>60</v>
      </c>
      <c r="S130" s="65" t="s">
        <v>60</v>
      </c>
      <c r="T130" s="66" t="s">
        <v>60</v>
      </c>
      <c r="U130" s="66" t="s">
        <v>60</v>
      </c>
      <c r="V130" s="65" t="s">
        <v>60</v>
      </c>
      <c r="W130" s="65" t="s">
        <v>60</v>
      </c>
      <c r="X130" s="66" t="s">
        <v>60</v>
      </c>
      <c r="Y130" s="66" t="s">
        <v>60</v>
      </c>
      <c r="Z130" s="66" t="s">
        <v>60</v>
      </c>
      <c r="AA130" s="66" t="s">
        <v>60</v>
      </c>
      <c r="AB130" s="66" t="s">
        <v>60</v>
      </c>
      <c r="AC130" s="66" t="s">
        <v>60</v>
      </c>
      <c r="AD130" s="66" t="s">
        <v>60</v>
      </c>
      <c r="AE130" s="67" t="s">
        <v>60</v>
      </c>
      <c r="AF130" s="67" t="s">
        <v>60</v>
      </c>
      <c r="AG130" s="67" t="s">
        <v>60</v>
      </c>
      <c r="AH130" s="67" t="s">
        <v>60</v>
      </c>
      <c r="AI130" s="65" t="s">
        <v>60</v>
      </c>
      <c r="AJ130" s="65" t="s">
        <v>60</v>
      </c>
      <c r="AK130" s="65" t="s">
        <v>60</v>
      </c>
      <c r="AL130" s="65" t="s">
        <v>60</v>
      </c>
      <c r="AM130" s="65"/>
      <c r="AN130" s="65"/>
      <c r="AO130" s="68" t="s">
        <v>60</v>
      </c>
      <c r="AP130" s="68" t="s">
        <v>60</v>
      </c>
      <c r="AQ130" s="68" t="s">
        <v>60</v>
      </c>
      <c r="AR130" s="68" t="s">
        <v>60</v>
      </c>
      <c r="AS130" s="9"/>
    </row>
    <row r="131" spans="1:45" ht="27.75" customHeight="1">
      <c r="A131" s="89" t="s">
        <v>386</v>
      </c>
      <c r="B131" s="90"/>
      <c r="C131" s="90"/>
      <c r="D131" s="90"/>
      <c r="E131" s="90"/>
      <c r="F131" s="90"/>
      <c r="G131" s="85">
        <v>5682</v>
      </c>
      <c r="H131" s="69"/>
      <c r="I131" s="69"/>
      <c r="J131" s="69"/>
      <c r="K131" s="70"/>
      <c r="L131" s="85">
        <v>64364</v>
      </c>
      <c r="M131" s="69"/>
      <c r="N131" s="69"/>
      <c r="O131" s="71" t="s">
        <v>60</v>
      </c>
      <c r="P131" s="72" t="s">
        <v>60</v>
      </c>
      <c r="Q131" s="71" t="s">
        <v>60</v>
      </c>
      <c r="R131" s="71" t="s">
        <v>60</v>
      </c>
      <c r="S131" s="71" t="s">
        <v>60</v>
      </c>
      <c r="T131" s="72" t="s">
        <v>60</v>
      </c>
      <c r="U131" s="72" t="s">
        <v>60</v>
      </c>
      <c r="V131" s="71" t="s">
        <v>60</v>
      </c>
      <c r="W131" s="71" t="s">
        <v>60</v>
      </c>
      <c r="X131" s="72" t="s">
        <v>60</v>
      </c>
      <c r="Y131" s="72" t="s">
        <v>60</v>
      </c>
      <c r="Z131" s="72" t="s">
        <v>60</v>
      </c>
      <c r="AA131" s="72" t="s">
        <v>60</v>
      </c>
      <c r="AB131" s="72" t="s">
        <v>60</v>
      </c>
      <c r="AC131" s="72" t="s">
        <v>60</v>
      </c>
      <c r="AD131" s="72" t="s">
        <v>60</v>
      </c>
      <c r="AE131" s="73" t="s">
        <v>60</v>
      </c>
      <c r="AF131" s="73" t="s">
        <v>60</v>
      </c>
      <c r="AG131" s="73" t="s">
        <v>60</v>
      </c>
      <c r="AH131" s="73" t="s">
        <v>60</v>
      </c>
      <c r="AI131" s="71" t="s">
        <v>60</v>
      </c>
      <c r="AJ131" s="71" t="s">
        <v>60</v>
      </c>
      <c r="AK131" s="71" t="s">
        <v>60</v>
      </c>
      <c r="AL131" s="71" t="s">
        <v>60</v>
      </c>
      <c r="AM131" s="71"/>
      <c r="AN131" s="71"/>
      <c r="AO131" s="74" t="s">
        <v>60</v>
      </c>
      <c r="AP131" s="74" t="s">
        <v>60</v>
      </c>
      <c r="AQ131" s="74" t="s">
        <v>60</v>
      </c>
      <c r="AR131" s="74" t="s">
        <v>60</v>
      </c>
      <c r="AS131" s="9"/>
    </row>
    <row r="132" spans="1:45" ht="21" customHeight="1">
      <c r="A132" s="92" t="s">
        <v>387</v>
      </c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"/>
    </row>
    <row r="133" spans="1:45" ht="17.25" customHeight="1">
      <c r="A133" s="94" t="s">
        <v>388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"/>
    </row>
    <row r="134" spans="1:45" ht="89.25">
      <c r="A134" s="56">
        <v>77</v>
      </c>
      <c r="B134" s="57" t="s">
        <v>389</v>
      </c>
      <c r="C134" s="58">
        <v>0.0366</v>
      </c>
      <c r="D134" s="59">
        <v>663.75</v>
      </c>
      <c r="E134" s="59">
        <v>663.75</v>
      </c>
      <c r="F134" s="59"/>
      <c r="G134" s="59">
        <v>24</v>
      </c>
      <c r="H134" s="59">
        <v>24</v>
      </c>
      <c r="I134" s="59"/>
      <c r="J134" s="59">
        <v>21.13</v>
      </c>
      <c r="K134" s="60"/>
      <c r="L134" s="59">
        <v>513</v>
      </c>
      <c r="M134" s="59">
        <v>513</v>
      </c>
      <c r="N134" s="59"/>
      <c r="O134" s="61">
        <f>24+0</f>
        <v>24</v>
      </c>
      <c r="P134" s="62" t="s">
        <v>39</v>
      </c>
      <c r="Q134" s="61">
        <f>513+0</f>
        <v>513</v>
      </c>
      <c r="R134" s="61">
        <v>24</v>
      </c>
      <c r="S134" s="61">
        <v>513</v>
      </c>
      <c r="T134" s="62" t="s">
        <v>98</v>
      </c>
      <c r="U134" s="62" t="s">
        <v>99</v>
      </c>
      <c r="V134" s="61">
        <v>349</v>
      </c>
      <c r="W134" s="61">
        <v>159</v>
      </c>
      <c r="X134" s="62">
        <v>1021</v>
      </c>
      <c r="Y134" s="62">
        <v>19</v>
      </c>
      <c r="Z134" s="62">
        <v>9</v>
      </c>
      <c r="AA134" s="62">
        <v>61</v>
      </c>
      <c r="AB134" s="62">
        <v>31</v>
      </c>
      <c r="AC134" s="62" t="s">
        <v>42</v>
      </c>
      <c r="AD134" s="62" t="s">
        <v>42</v>
      </c>
      <c r="AE134" s="63">
        <v>513</v>
      </c>
      <c r="AF134" s="63"/>
      <c r="AG134" s="63"/>
      <c r="AH134" s="63"/>
      <c r="AI134" s="61">
        <v>24</v>
      </c>
      <c r="AJ134" s="61"/>
      <c r="AK134" s="61"/>
      <c r="AL134" s="61"/>
      <c r="AM134" s="61">
        <v>513</v>
      </c>
      <c r="AN134" s="61">
        <v>24</v>
      </c>
      <c r="AO134" s="64">
        <v>21.13</v>
      </c>
      <c r="AP134" s="64" t="s">
        <v>20</v>
      </c>
      <c r="AQ134" s="64" t="s">
        <v>20</v>
      </c>
      <c r="AR134" s="64" t="s">
        <v>20</v>
      </c>
      <c r="AS134" s="9"/>
    </row>
    <row r="135" spans="1:45" ht="114.75">
      <c r="A135" s="56">
        <v>78</v>
      </c>
      <c r="B135" s="57" t="s">
        <v>390</v>
      </c>
      <c r="C135" s="58">
        <v>0.01368</v>
      </c>
      <c r="D135" s="59">
        <v>3494.91</v>
      </c>
      <c r="E135" s="59" t="s">
        <v>193</v>
      </c>
      <c r="F135" s="59" t="s">
        <v>194</v>
      </c>
      <c r="G135" s="59">
        <v>47</v>
      </c>
      <c r="H135" s="59">
        <v>1</v>
      </c>
      <c r="I135" s="59" t="s">
        <v>391</v>
      </c>
      <c r="J135" s="59" t="s">
        <v>196</v>
      </c>
      <c r="K135" s="60" t="s">
        <v>197</v>
      </c>
      <c r="L135" s="59">
        <v>368</v>
      </c>
      <c r="M135" s="59">
        <v>28</v>
      </c>
      <c r="N135" s="59" t="s">
        <v>392</v>
      </c>
      <c r="O135" s="61">
        <f>1+7</f>
        <v>8</v>
      </c>
      <c r="P135" s="62" t="s">
        <v>39</v>
      </c>
      <c r="Q135" s="61">
        <f>28+133</f>
        <v>161</v>
      </c>
      <c r="R135" s="61">
        <v>47</v>
      </c>
      <c r="S135" s="61">
        <v>368</v>
      </c>
      <c r="T135" s="62" t="s">
        <v>200</v>
      </c>
      <c r="U135" s="62" t="s">
        <v>201</v>
      </c>
      <c r="V135" s="61">
        <v>130</v>
      </c>
      <c r="W135" s="61">
        <v>55</v>
      </c>
      <c r="X135" s="62">
        <v>553</v>
      </c>
      <c r="Y135" s="62">
        <v>8</v>
      </c>
      <c r="Z135" s="62">
        <v>3</v>
      </c>
      <c r="AA135" s="62">
        <v>73</v>
      </c>
      <c r="AB135" s="62">
        <v>34</v>
      </c>
      <c r="AC135" s="62" t="s">
        <v>42</v>
      </c>
      <c r="AD135" s="62" t="s">
        <v>42</v>
      </c>
      <c r="AE135" s="63">
        <v>28</v>
      </c>
      <c r="AF135" s="63">
        <v>340</v>
      </c>
      <c r="AG135" s="63">
        <v>133</v>
      </c>
      <c r="AH135" s="63"/>
      <c r="AI135" s="61">
        <v>1</v>
      </c>
      <c r="AJ135" s="61">
        <v>46</v>
      </c>
      <c r="AK135" s="61">
        <v>7</v>
      </c>
      <c r="AL135" s="61"/>
      <c r="AM135" s="61">
        <v>368</v>
      </c>
      <c r="AN135" s="61">
        <v>47</v>
      </c>
      <c r="AO135" s="64">
        <v>21.13</v>
      </c>
      <c r="AP135" s="64">
        <v>7.309</v>
      </c>
      <c r="AQ135" s="64">
        <v>20.225</v>
      </c>
      <c r="AR135" s="64">
        <v>9.652</v>
      </c>
      <c r="AS135" s="9"/>
    </row>
    <row r="136" spans="1:45" ht="114.75">
      <c r="A136" s="56">
        <v>79</v>
      </c>
      <c r="B136" s="57" t="s">
        <v>202</v>
      </c>
      <c r="C136" s="58">
        <v>16.416</v>
      </c>
      <c r="D136" s="59">
        <v>11.42</v>
      </c>
      <c r="E136" s="59"/>
      <c r="F136" s="59">
        <v>11.42</v>
      </c>
      <c r="G136" s="59">
        <v>187</v>
      </c>
      <c r="H136" s="59"/>
      <c r="I136" s="59">
        <v>187</v>
      </c>
      <c r="J136" s="59"/>
      <c r="K136" s="60">
        <v>9.94</v>
      </c>
      <c r="L136" s="59">
        <v>1863</v>
      </c>
      <c r="M136" s="59"/>
      <c r="N136" s="59">
        <v>1863</v>
      </c>
      <c r="O136" s="61">
        <f>0+0</f>
        <v>0</v>
      </c>
      <c r="P136" s="62" t="s">
        <v>39</v>
      </c>
      <c r="Q136" s="61">
        <f>0+0</f>
        <v>0</v>
      </c>
      <c r="R136" s="61">
        <v>187</v>
      </c>
      <c r="S136" s="61">
        <v>1863</v>
      </c>
      <c r="T136" s="62" t="s">
        <v>57</v>
      </c>
      <c r="U136" s="62" t="s">
        <v>58</v>
      </c>
      <c r="V136" s="61"/>
      <c r="W136" s="61"/>
      <c r="X136" s="62">
        <v>1863</v>
      </c>
      <c r="Y136" s="62"/>
      <c r="Z136" s="62"/>
      <c r="AA136" s="62">
        <v>0</v>
      </c>
      <c r="AB136" s="62">
        <v>0</v>
      </c>
      <c r="AC136" s="62" t="s">
        <v>42</v>
      </c>
      <c r="AD136" s="62" t="s">
        <v>42</v>
      </c>
      <c r="AE136" s="63"/>
      <c r="AF136" s="63">
        <v>1863</v>
      </c>
      <c r="AG136" s="63"/>
      <c r="AH136" s="63"/>
      <c r="AI136" s="61"/>
      <c r="AJ136" s="61">
        <v>187</v>
      </c>
      <c r="AK136" s="61"/>
      <c r="AL136" s="61"/>
      <c r="AM136" s="61">
        <v>1863</v>
      </c>
      <c r="AN136" s="61">
        <v>187</v>
      </c>
      <c r="AO136" s="64" t="s">
        <v>20</v>
      </c>
      <c r="AP136" s="64">
        <v>9.94</v>
      </c>
      <c r="AQ136" s="64" t="s">
        <v>20</v>
      </c>
      <c r="AR136" s="64" t="s">
        <v>20</v>
      </c>
      <c r="AS136" s="9"/>
    </row>
    <row r="137" spans="1:45" ht="229.5">
      <c r="A137" s="56">
        <v>80</v>
      </c>
      <c r="B137" s="57" t="s">
        <v>393</v>
      </c>
      <c r="C137" s="58">
        <v>0.0408</v>
      </c>
      <c r="D137" s="59">
        <v>1598.3</v>
      </c>
      <c r="E137" s="59" t="s">
        <v>394</v>
      </c>
      <c r="F137" s="59" t="s">
        <v>395</v>
      </c>
      <c r="G137" s="59">
        <v>65</v>
      </c>
      <c r="H137" s="59" t="s">
        <v>396</v>
      </c>
      <c r="I137" s="59" t="s">
        <v>397</v>
      </c>
      <c r="J137" s="59" t="s">
        <v>209</v>
      </c>
      <c r="K137" s="60" t="s">
        <v>398</v>
      </c>
      <c r="L137" s="59">
        <v>512</v>
      </c>
      <c r="M137" s="59" t="s">
        <v>399</v>
      </c>
      <c r="N137" s="59" t="s">
        <v>400</v>
      </c>
      <c r="O137" s="61">
        <f>5+5</f>
        <v>10</v>
      </c>
      <c r="P137" s="62" t="s">
        <v>39</v>
      </c>
      <c r="Q137" s="61">
        <f>109+101</f>
        <v>210</v>
      </c>
      <c r="R137" s="61">
        <v>65</v>
      </c>
      <c r="S137" s="61">
        <v>512</v>
      </c>
      <c r="T137" s="62" t="s">
        <v>113</v>
      </c>
      <c r="U137" s="62" t="s">
        <v>114</v>
      </c>
      <c r="V137" s="61">
        <v>254</v>
      </c>
      <c r="W137" s="61">
        <v>137</v>
      </c>
      <c r="X137" s="62">
        <v>903</v>
      </c>
      <c r="Y137" s="62">
        <v>14</v>
      </c>
      <c r="Z137" s="62">
        <v>8</v>
      </c>
      <c r="AA137" s="62">
        <v>121</v>
      </c>
      <c r="AB137" s="62">
        <v>65</v>
      </c>
      <c r="AC137" s="62" t="s">
        <v>42</v>
      </c>
      <c r="AD137" s="62" t="s">
        <v>42</v>
      </c>
      <c r="AE137" s="63">
        <v>109</v>
      </c>
      <c r="AF137" s="63">
        <v>397</v>
      </c>
      <c r="AG137" s="63">
        <v>101</v>
      </c>
      <c r="AH137" s="63">
        <v>6</v>
      </c>
      <c r="AI137" s="61">
        <v>5</v>
      </c>
      <c r="AJ137" s="61">
        <v>59</v>
      </c>
      <c r="AK137" s="61">
        <v>5</v>
      </c>
      <c r="AL137" s="61">
        <v>1</v>
      </c>
      <c r="AM137" s="61">
        <v>512</v>
      </c>
      <c r="AN137" s="61">
        <v>65</v>
      </c>
      <c r="AO137" s="64">
        <v>21.13</v>
      </c>
      <c r="AP137" s="64">
        <v>6.695</v>
      </c>
      <c r="AQ137" s="64">
        <v>20.238</v>
      </c>
      <c r="AR137" s="64">
        <v>8.111</v>
      </c>
      <c r="AS137" s="9"/>
    </row>
    <row r="138" spans="1:45" ht="38.25">
      <c r="A138" s="56">
        <v>81</v>
      </c>
      <c r="B138" s="57" t="s">
        <v>401</v>
      </c>
      <c r="C138" s="58">
        <v>4.9776</v>
      </c>
      <c r="D138" s="59">
        <v>60</v>
      </c>
      <c r="E138" s="59" t="s">
        <v>402</v>
      </c>
      <c r="F138" s="59"/>
      <c r="G138" s="59">
        <v>299</v>
      </c>
      <c r="H138" s="59" t="s">
        <v>403</v>
      </c>
      <c r="I138" s="59"/>
      <c r="J138" s="59" t="s">
        <v>404</v>
      </c>
      <c r="K138" s="60"/>
      <c r="L138" s="59">
        <v>3530</v>
      </c>
      <c r="M138" s="59" t="s">
        <v>405</v>
      </c>
      <c r="N138" s="59"/>
      <c r="O138" s="61">
        <f>0+0</f>
        <v>0</v>
      </c>
      <c r="P138" s="62" t="s">
        <v>120</v>
      </c>
      <c r="Q138" s="61">
        <f>0+0</f>
        <v>0</v>
      </c>
      <c r="R138" s="61">
        <v>299</v>
      </c>
      <c r="S138" s="61">
        <v>3530</v>
      </c>
      <c r="T138" s="62"/>
      <c r="U138" s="62"/>
      <c r="V138" s="61"/>
      <c r="W138" s="61"/>
      <c r="X138" s="62">
        <v>3530</v>
      </c>
      <c r="Y138" s="62"/>
      <c r="Z138" s="62"/>
      <c r="AA138" s="62">
        <v>121</v>
      </c>
      <c r="AB138" s="62">
        <v>65</v>
      </c>
      <c r="AC138" s="62" t="s">
        <v>42</v>
      </c>
      <c r="AD138" s="62" t="s">
        <v>42</v>
      </c>
      <c r="AE138" s="63"/>
      <c r="AF138" s="63"/>
      <c r="AG138" s="63"/>
      <c r="AH138" s="63">
        <v>3530</v>
      </c>
      <c r="AI138" s="61"/>
      <c r="AJ138" s="61"/>
      <c r="AK138" s="61"/>
      <c r="AL138" s="61">
        <v>299</v>
      </c>
      <c r="AM138" s="61">
        <v>3530</v>
      </c>
      <c r="AN138" s="61">
        <v>299</v>
      </c>
      <c r="AO138" s="64" t="s">
        <v>20</v>
      </c>
      <c r="AP138" s="64" t="s">
        <v>20</v>
      </c>
      <c r="AQ138" s="64" t="s">
        <v>20</v>
      </c>
      <c r="AR138" s="64">
        <v>11.818</v>
      </c>
      <c r="AS138" s="9"/>
    </row>
    <row r="139" spans="1:45" ht="89.25">
      <c r="A139" s="56">
        <v>82</v>
      </c>
      <c r="B139" s="57" t="s">
        <v>406</v>
      </c>
      <c r="C139" s="58">
        <v>0.8502</v>
      </c>
      <c r="D139" s="59">
        <v>4412.47</v>
      </c>
      <c r="E139" s="59" t="s">
        <v>136</v>
      </c>
      <c r="F139" s="59" t="s">
        <v>137</v>
      </c>
      <c r="G139" s="59">
        <v>3751</v>
      </c>
      <c r="H139" s="59" t="s">
        <v>407</v>
      </c>
      <c r="I139" s="59" t="s">
        <v>408</v>
      </c>
      <c r="J139" s="59" t="s">
        <v>140</v>
      </c>
      <c r="K139" s="60" t="s">
        <v>141</v>
      </c>
      <c r="L139" s="59">
        <v>28323</v>
      </c>
      <c r="M139" s="59" t="s">
        <v>409</v>
      </c>
      <c r="N139" s="59" t="s">
        <v>410</v>
      </c>
      <c r="O139" s="61">
        <f>547+8</f>
        <v>555</v>
      </c>
      <c r="P139" s="62" t="s">
        <v>39</v>
      </c>
      <c r="Q139" s="61">
        <f>11563+166</f>
        <v>11729</v>
      </c>
      <c r="R139" s="61">
        <v>3751</v>
      </c>
      <c r="S139" s="61">
        <v>28323</v>
      </c>
      <c r="T139" s="62" t="s">
        <v>113</v>
      </c>
      <c r="U139" s="62" t="s">
        <v>114</v>
      </c>
      <c r="V139" s="61">
        <v>14192</v>
      </c>
      <c r="W139" s="61">
        <v>7624</v>
      </c>
      <c r="X139" s="62">
        <v>50139</v>
      </c>
      <c r="Y139" s="62">
        <v>788</v>
      </c>
      <c r="Z139" s="62">
        <v>450</v>
      </c>
      <c r="AA139" s="62">
        <v>121</v>
      </c>
      <c r="AB139" s="62">
        <v>65</v>
      </c>
      <c r="AC139" s="62" t="s">
        <v>42</v>
      </c>
      <c r="AD139" s="62" t="s">
        <v>42</v>
      </c>
      <c r="AE139" s="63">
        <v>11563</v>
      </c>
      <c r="AF139" s="63">
        <v>496</v>
      </c>
      <c r="AG139" s="63">
        <v>166</v>
      </c>
      <c r="AH139" s="63">
        <v>16264</v>
      </c>
      <c r="AI139" s="61">
        <v>547</v>
      </c>
      <c r="AJ139" s="61">
        <v>67</v>
      </c>
      <c r="AK139" s="61">
        <v>8</v>
      </c>
      <c r="AL139" s="61">
        <v>3137</v>
      </c>
      <c r="AM139" s="61">
        <v>28323</v>
      </c>
      <c r="AN139" s="61">
        <v>3751</v>
      </c>
      <c r="AO139" s="64">
        <v>21.13</v>
      </c>
      <c r="AP139" s="64">
        <v>7.408</v>
      </c>
      <c r="AQ139" s="64">
        <v>20.232</v>
      </c>
      <c r="AR139" s="64">
        <v>5.184</v>
      </c>
      <c r="AS139" s="9"/>
    </row>
    <row r="140" spans="1:45" ht="38.25">
      <c r="A140" s="56">
        <v>83</v>
      </c>
      <c r="B140" s="57" t="s">
        <v>144</v>
      </c>
      <c r="C140" s="58">
        <v>-5.01618</v>
      </c>
      <c r="D140" s="59">
        <v>592.76</v>
      </c>
      <c r="E140" s="59" t="s">
        <v>145</v>
      </c>
      <c r="F140" s="59"/>
      <c r="G140" s="59">
        <v>-2973</v>
      </c>
      <c r="H140" s="59" t="s">
        <v>411</v>
      </c>
      <c r="I140" s="59"/>
      <c r="J140" s="59" t="s">
        <v>147</v>
      </c>
      <c r="K140" s="60"/>
      <c r="L140" s="59">
        <v>-15783</v>
      </c>
      <c r="M140" s="59" t="s">
        <v>412</v>
      </c>
      <c r="N140" s="59"/>
      <c r="O140" s="61">
        <f>0+0</f>
        <v>0</v>
      </c>
      <c r="P140" s="62" t="s">
        <v>120</v>
      </c>
      <c r="Q140" s="61">
        <f>0+0</f>
        <v>0</v>
      </c>
      <c r="R140" s="61">
        <v>-2973</v>
      </c>
      <c r="S140" s="61">
        <v>-15783</v>
      </c>
      <c r="T140" s="62"/>
      <c r="U140" s="62"/>
      <c r="V140" s="61"/>
      <c r="W140" s="61"/>
      <c r="X140" s="62">
        <v>-15783</v>
      </c>
      <c r="Y140" s="62"/>
      <c r="Z140" s="62"/>
      <c r="AA140" s="62">
        <v>0</v>
      </c>
      <c r="AB140" s="62">
        <v>0</v>
      </c>
      <c r="AC140" s="62" t="s">
        <v>42</v>
      </c>
      <c r="AD140" s="62" t="s">
        <v>42</v>
      </c>
      <c r="AE140" s="63"/>
      <c r="AF140" s="63"/>
      <c r="AG140" s="63"/>
      <c r="AH140" s="63">
        <v>-15783</v>
      </c>
      <c r="AI140" s="61"/>
      <c r="AJ140" s="61"/>
      <c r="AK140" s="61"/>
      <c r="AL140" s="61">
        <v>-2973</v>
      </c>
      <c r="AM140" s="61">
        <v>-15783</v>
      </c>
      <c r="AN140" s="61">
        <v>-2973</v>
      </c>
      <c r="AO140" s="64" t="s">
        <v>20</v>
      </c>
      <c r="AP140" s="64" t="s">
        <v>20</v>
      </c>
      <c r="AQ140" s="64" t="s">
        <v>20</v>
      </c>
      <c r="AR140" s="64">
        <v>5.308</v>
      </c>
      <c r="AS140" s="9"/>
    </row>
    <row r="141" spans="1:45" ht="51">
      <c r="A141" s="56">
        <v>84</v>
      </c>
      <c r="B141" s="57" t="s">
        <v>413</v>
      </c>
      <c r="C141" s="58">
        <v>-0.05101</v>
      </c>
      <c r="D141" s="59">
        <v>519.8</v>
      </c>
      <c r="E141" s="59" t="s">
        <v>414</v>
      </c>
      <c r="F141" s="59"/>
      <c r="G141" s="59">
        <v>-27</v>
      </c>
      <c r="H141" s="59" t="s">
        <v>415</v>
      </c>
      <c r="I141" s="59"/>
      <c r="J141" s="59" t="s">
        <v>416</v>
      </c>
      <c r="K141" s="60"/>
      <c r="L141" s="59">
        <v>-138</v>
      </c>
      <c r="M141" s="59" t="s">
        <v>417</v>
      </c>
      <c r="N141" s="59"/>
      <c r="O141" s="61">
        <f>0+0</f>
        <v>0</v>
      </c>
      <c r="P141" s="62" t="s">
        <v>120</v>
      </c>
      <c r="Q141" s="61">
        <f>0+0</f>
        <v>0</v>
      </c>
      <c r="R141" s="61">
        <v>-27</v>
      </c>
      <c r="S141" s="61">
        <v>-138</v>
      </c>
      <c r="T141" s="62"/>
      <c r="U141" s="62"/>
      <c r="V141" s="61"/>
      <c r="W141" s="61"/>
      <c r="X141" s="62">
        <v>-138</v>
      </c>
      <c r="Y141" s="62"/>
      <c r="Z141" s="62"/>
      <c r="AA141" s="62">
        <v>0</v>
      </c>
      <c r="AB141" s="62">
        <v>0</v>
      </c>
      <c r="AC141" s="62" t="s">
        <v>42</v>
      </c>
      <c r="AD141" s="62" t="s">
        <v>42</v>
      </c>
      <c r="AE141" s="63"/>
      <c r="AF141" s="63"/>
      <c r="AG141" s="63"/>
      <c r="AH141" s="63">
        <v>-138</v>
      </c>
      <c r="AI141" s="61"/>
      <c r="AJ141" s="61"/>
      <c r="AK141" s="61"/>
      <c r="AL141" s="61">
        <v>-27</v>
      </c>
      <c r="AM141" s="61">
        <v>-138</v>
      </c>
      <c r="AN141" s="61">
        <v>-27</v>
      </c>
      <c r="AO141" s="64" t="s">
        <v>20</v>
      </c>
      <c r="AP141" s="64" t="s">
        <v>20</v>
      </c>
      <c r="AQ141" s="64" t="s">
        <v>20</v>
      </c>
      <c r="AR141" s="64">
        <v>5.191</v>
      </c>
      <c r="AS141" s="9"/>
    </row>
    <row r="142" spans="1:45" ht="51">
      <c r="A142" s="56">
        <v>85</v>
      </c>
      <c r="B142" s="57" t="s">
        <v>413</v>
      </c>
      <c r="C142" s="58">
        <v>0.0168</v>
      </c>
      <c r="D142" s="59">
        <v>519.8</v>
      </c>
      <c r="E142" s="59" t="s">
        <v>414</v>
      </c>
      <c r="F142" s="59"/>
      <c r="G142" s="59">
        <v>9</v>
      </c>
      <c r="H142" s="59" t="s">
        <v>418</v>
      </c>
      <c r="I142" s="59"/>
      <c r="J142" s="59" t="s">
        <v>416</v>
      </c>
      <c r="K142" s="60"/>
      <c r="L142" s="59">
        <v>45</v>
      </c>
      <c r="M142" s="59" t="s">
        <v>419</v>
      </c>
      <c r="N142" s="59"/>
      <c r="O142" s="61">
        <f>0+0</f>
        <v>0</v>
      </c>
      <c r="P142" s="62" t="s">
        <v>120</v>
      </c>
      <c r="Q142" s="61">
        <f>0+0</f>
        <v>0</v>
      </c>
      <c r="R142" s="61">
        <v>9</v>
      </c>
      <c r="S142" s="61">
        <v>45</v>
      </c>
      <c r="T142" s="62"/>
      <c r="U142" s="62"/>
      <c r="V142" s="61"/>
      <c r="W142" s="61"/>
      <c r="X142" s="62">
        <v>45</v>
      </c>
      <c r="Y142" s="62"/>
      <c r="Z142" s="62"/>
      <c r="AA142" s="62">
        <v>0</v>
      </c>
      <c r="AB142" s="62">
        <v>0</v>
      </c>
      <c r="AC142" s="62" t="s">
        <v>42</v>
      </c>
      <c r="AD142" s="62" t="s">
        <v>42</v>
      </c>
      <c r="AE142" s="63"/>
      <c r="AF142" s="63"/>
      <c r="AG142" s="63"/>
      <c r="AH142" s="63">
        <v>45</v>
      </c>
      <c r="AI142" s="61"/>
      <c r="AJ142" s="61"/>
      <c r="AK142" s="61"/>
      <c r="AL142" s="61">
        <v>9</v>
      </c>
      <c r="AM142" s="61">
        <v>45</v>
      </c>
      <c r="AN142" s="61">
        <v>9</v>
      </c>
      <c r="AO142" s="64" t="s">
        <v>20</v>
      </c>
      <c r="AP142" s="64" t="s">
        <v>20</v>
      </c>
      <c r="AQ142" s="64" t="s">
        <v>20</v>
      </c>
      <c r="AR142" s="64">
        <v>5.191</v>
      </c>
      <c r="AS142" s="9"/>
    </row>
    <row r="143" spans="1:45" ht="38.25">
      <c r="A143" s="56">
        <v>86</v>
      </c>
      <c r="B143" s="57" t="s">
        <v>149</v>
      </c>
      <c r="C143" s="58">
        <v>4.08</v>
      </c>
      <c r="D143" s="59">
        <v>560</v>
      </c>
      <c r="E143" s="59" t="s">
        <v>150</v>
      </c>
      <c r="F143" s="59"/>
      <c r="G143" s="59">
        <v>2285</v>
      </c>
      <c r="H143" s="59" t="s">
        <v>420</v>
      </c>
      <c r="I143" s="59"/>
      <c r="J143" s="59" t="s">
        <v>152</v>
      </c>
      <c r="K143" s="60"/>
      <c r="L143" s="59">
        <v>11205</v>
      </c>
      <c r="M143" s="59" t="s">
        <v>421</v>
      </c>
      <c r="N143" s="59"/>
      <c r="O143" s="61">
        <f>0+0</f>
        <v>0</v>
      </c>
      <c r="P143" s="62" t="s">
        <v>120</v>
      </c>
      <c r="Q143" s="61">
        <f>0+0</f>
        <v>0</v>
      </c>
      <c r="R143" s="61">
        <v>2285</v>
      </c>
      <c r="S143" s="61">
        <v>11205</v>
      </c>
      <c r="T143" s="62"/>
      <c r="U143" s="62"/>
      <c r="V143" s="61"/>
      <c r="W143" s="61"/>
      <c r="X143" s="62">
        <v>11205</v>
      </c>
      <c r="Y143" s="62"/>
      <c r="Z143" s="62"/>
      <c r="AA143" s="62">
        <v>0</v>
      </c>
      <c r="AB143" s="62">
        <v>0</v>
      </c>
      <c r="AC143" s="62" t="s">
        <v>42</v>
      </c>
      <c r="AD143" s="62" t="s">
        <v>42</v>
      </c>
      <c r="AE143" s="63"/>
      <c r="AF143" s="63"/>
      <c r="AG143" s="63"/>
      <c r="AH143" s="63">
        <v>11205</v>
      </c>
      <c r="AI143" s="61"/>
      <c r="AJ143" s="61"/>
      <c r="AK143" s="61"/>
      <c r="AL143" s="61">
        <v>2285</v>
      </c>
      <c r="AM143" s="61">
        <v>11205</v>
      </c>
      <c r="AN143" s="61">
        <v>2285</v>
      </c>
      <c r="AO143" s="64" t="s">
        <v>20</v>
      </c>
      <c r="AP143" s="64" t="s">
        <v>20</v>
      </c>
      <c r="AQ143" s="64" t="s">
        <v>20</v>
      </c>
      <c r="AR143" s="64">
        <v>4.904</v>
      </c>
      <c r="AS143" s="9"/>
    </row>
    <row r="144" spans="1:45" ht="38.25">
      <c r="A144" s="56">
        <v>87</v>
      </c>
      <c r="B144" s="57" t="s">
        <v>422</v>
      </c>
      <c r="C144" s="58">
        <v>109</v>
      </c>
      <c r="D144" s="59">
        <v>12.34</v>
      </c>
      <c r="E144" s="59" t="s">
        <v>423</v>
      </c>
      <c r="F144" s="59"/>
      <c r="G144" s="59">
        <v>1345</v>
      </c>
      <c r="H144" s="59" t="s">
        <v>424</v>
      </c>
      <c r="I144" s="59"/>
      <c r="J144" s="59" t="s">
        <v>81</v>
      </c>
      <c r="K144" s="60"/>
      <c r="L144" s="59">
        <v>10035</v>
      </c>
      <c r="M144" s="59" t="s">
        <v>425</v>
      </c>
      <c r="N144" s="59"/>
      <c r="O144" s="61">
        <f>0+0</f>
        <v>0</v>
      </c>
      <c r="P144" s="62" t="s">
        <v>120</v>
      </c>
      <c r="Q144" s="61">
        <f>0+0</f>
        <v>0</v>
      </c>
      <c r="R144" s="61">
        <v>1345</v>
      </c>
      <c r="S144" s="61">
        <v>10035</v>
      </c>
      <c r="T144" s="62"/>
      <c r="U144" s="62"/>
      <c r="V144" s="61"/>
      <c r="W144" s="61"/>
      <c r="X144" s="62">
        <v>10035</v>
      </c>
      <c r="Y144" s="62"/>
      <c r="Z144" s="62"/>
      <c r="AA144" s="62">
        <v>0</v>
      </c>
      <c r="AB144" s="62">
        <v>0</v>
      </c>
      <c r="AC144" s="62" t="s">
        <v>42</v>
      </c>
      <c r="AD144" s="62" t="s">
        <v>42</v>
      </c>
      <c r="AE144" s="63"/>
      <c r="AF144" s="63"/>
      <c r="AG144" s="63"/>
      <c r="AH144" s="63">
        <v>10035</v>
      </c>
      <c r="AI144" s="61"/>
      <c r="AJ144" s="61"/>
      <c r="AK144" s="61"/>
      <c r="AL144" s="61">
        <v>1345</v>
      </c>
      <c r="AM144" s="61">
        <v>10035</v>
      </c>
      <c r="AN144" s="61">
        <v>1345</v>
      </c>
      <c r="AO144" s="64" t="s">
        <v>20</v>
      </c>
      <c r="AP144" s="64" t="s">
        <v>20</v>
      </c>
      <c r="AQ144" s="64" t="s">
        <v>20</v>
      </c>
      <c r="AR144" s="64">
        <v>7.46</v>
      </c>
      <c r="AS144" s="9"/>
    </row>
    <row r="145" spans="1:45" ht="216.75">
      <c r="A145" s="56">
        <v>88</v>
      </c>
      <c r="B145" s="57" t="s">
        <v>426</v>
      </c>
      <c r="C145" s="58">
        <v>0.051</v>
      </c>
      <c r="D145" s="59">
        <v>1598.3</v>
      </c>
      <c r="E145" s="59" t="s">
        <v>394</v>
      </c>
      <c r="F145" s="59" t="s">
        <v>395</v>
      </c>
      <c r="G145" s="59">
        <v>81</v>
      </c>
      <c r="H145" s="59" t="s">
        <v>427</v>
      </c>
      <c r="I145" s="59" t="s">
        <v>428</v>
      </c>
      <c r="J145" s="59" t="s">
        <v>209</v>
      </c>
      <c r="K145" s="60" t="s">
        <v>398</v>
      </c>
      <c r="L145" s="59">
        <v>640</v>
      </c>
      <c r="M145" s="59" t="s">
        <v>429</v>
      </c>
      <c r="N145" s="59" t="s">
        <v>430</v>
      </c>
      <c r="O145" s="61">
        <f>6+6</f>
        <v>12</v>
      </c>
      <c r="P145" s="62" t="s">
        <v>39</v>
      </c>
      <c r="Q145" s="61">
        <f>136+126</f>
        <v>262</v>
      </c>
      <c r="R145" s="61">
        <v>81</v>
      </c>
      <c r="S145" s="61">
        <v>640</v>
      </c>
      <c r="T145" s="62" t="s">
        <v>113</v>
      </c>
      <c r="U145" s="62" t="s">
        <v>114</v>
      </c>
      <c r="V145" s="61">
        <v>317</v>
      </c>
      <c r="W145" s="61">
        <v>170</v>
      </c>
      <c r="X145" s="62">
        <v>1127</v>
      </c>
      <c r="Y145" s="62">
        <v>17</v>
      </c>
      <c r="Z145" s="62">
        <v>10</v>
      </c>
      <c r="AA145" s="62">
        <v>121</v>
      </c>
      <c r="AB145" s="62">
        <v>65</v>
      </c>
      <c r="AC145" s="62" t="s">
        <v>42</v>
      </c>
      <c r="AD145" s="62" t="s">
        <v>42</v>
      </c>
      <c r="AE145" s="63">
        <v>136</v>
      </c>
      <c r="AF145" s="63">
        <v>497</v>
      </c>
      <c r="AG145" s="63">
        <v>126</v>
      </c>
      <c r="AH145" s="63">
        <v>7</v>
      </c>
      <c r="AI145" s="61">
        <v>6</v>
      </c>
      <c r="AJ145" s="61">
        <v>74</v>
      </c>
      <c r="AK145" s="61">
        <v>6</v>
      </c>
      <c r="AL145" s="61">
        <v>1</v>
      </c>
      <c r="AM145" s="61">
        <v>640</v>
      </c>
      <c r="AN145" s="61">
        <v>81</v>
      </c>
      <c r="AO145" s="64">
        <v>21.13</v>
      </c>
      <c r="AP145" s="64">
        <v>6.695</v>
      </c>
      <c r="AQ145" s="64">
        <v>20.238</v>
      </c>
      <c r="AR145" s="64">
        <v>8.111</v>
      </c>
      <c r="AS145" s="9"/>
    </row>
    <row r="146" spans="1:45" ht="38.25">
      <c r="A146" s="56">
        <v>89</v>
      </c>
      <c r="B146" s="57" t="s">
        <v>401</v>
      </c>
      <c r="C146" s="58">
        <v>6.222</v>
      </c>
      <c r="D146" s="59">
        <v>60</v>
      </c>
      <c r="E146" s="59" t="s">
        <v>402</v>
      </c>
      <c r="F146" s="59"/>
      <c r="G146" s="59">
        <v>373</v>
      </c>
      <c r="H146" s="59" t="s">
        <v>431</v>
      </c>
      <c r="I146" s="59"/>
      <c r="J146" s="59" t="s">
        <v>404</v>
      </c>
      <c r="K146" s="60"/>
      <c r="L146" s="59">
        <v>4412</v>
      </c>
      <c r="M146" s="59" t="s">
        <v>432</v>
      </c>
      <c r="N146" s="59"/>
      <c r="O146" s="61">
        <f>0+0</f>
        <v>0</v>
      </c>
      <c r="P146" s="62" t="s">
        <v>120</v>
      </c>
      <c r="Q146" s="61">
        <f>0+0</f>
        <v>0</v>
      </c>
      <c r="R146" s="61">
        <v>373</v>
      </c>
      <c r="S146" s="61">
        <v>4412</v>
      </c>
      <c r="T146" s="62"/>
      <c r="U146" s="62"/>
      <c r="V146" s="61"/>
      <c r="W146" s="61"/>
      <c r="X146" s="62">
        <v>4412</v>
      </c>
      <c r="Y146" s="62"/>
      <c r="Z146" s="62"/>
      <c r="AA146" s="62">
        <v>121</v>
      </c>
      <c r="AB146" s="62">
        <v>65</v>
      </c>
      <c r="AC146" s="62" t="s">
        <v>42</v>
      </c>
      <c r="AD146" s="62" t="s">
        <v>42</v>
      </c>
      <c r="AE146" s="63"/>
      <c r="AF146" s="63"/>
      <c r="AG146" s="63"/>
      <c r="AH146" s="63">
        <v>4412</v>
      </c>
      <c r="AI146" s="61"/>
      <c r="AJ146" s="61"/>
      <c r="AK146" s="61"/>
      <c r="AL146" s="61">
        <v>373</v>
      </c>
      <c r="AM146" s="61">
        <v>4412</v>
      </c>
      <c r="AN146" s="61">
        <v>373</v>
      </c>
      <c r="AO146" s="64" t="s">
        <v>20</v>
      </c>
      <c r="AP146" s="64" t="s">
        <v>20</v>
      </c>
      <c r="AQ146" s="64" t="s">
        <v>20</v>
      </c>
      <c r="AR146" s="64">
        <v>11.818</v>
      </c>
      <c r="AS146" s="9"/>
    </row>
    <row r="147" spans="1:45" ht="114.75">
      <c r="A147" s="56">
        <v>90</v>
      </c>
      <c r="B147" s="57" t="s">
        <v>433</v>
      </c>
      <c r="C147" s="58">
        <v>0.425</v>
      </c>
      <c r="D147" s="59">
        <v>299.11</v>
      </c>
      <c r="E147" s="59" t="s">
        <v>434</v>
      </c>
      <c r="F147" s="59" t="s">
        <v>435</v>
      </c>
      <c r="G147" s="59">
        <v>127</v>
      </c>
      <c r="H147" s="59" t="s">
        <v>436</v>
      </c>
      <c r="I147" s="59">
        <v>24</v>
      </c>
      <c r="J147" s="59" t="s">
        <v>437</v>
      </c>
      <c r="K147" s="60" t="s">
        <v>438</v>
      </c>
      <c r="L147" s="59">
        <v>1731</v>
      </c>
      <c r="M147" s="59" t="s">
        <v>439</v>
      </c>
      <c r="N147" s="59" t="s">
        <v>440</v>
      </c>
      <c r="O147" s="61">
        <f>60+0</f>
        <v>60</v>
      </c>
      <c r="P147" s="62" t="s">
        <v>39</v>
      </c>
      <c r="Q147" s="61">
        <f>1261+7</f>
        <v>1268</v>
      </c>
      <c r="R147" s="61">
        <v>127</v>
      </c>
      <c r="S147" s="61">
        <v>1731</v>
      </c>
      <c r="T147" s="62" t="s">
        <v>113</v>
      </c>
      <c r="U147" s="62" t="s">
        <v>114</v>
      </c>
      <c r="V147" s="61">
        <v>1534</v>
      </c>
      <c r="W147" s="61">
        <v>824</v>
      </c>
      <c r="X147" s="62">
        <v>4089</v>
      </c>
      <c r="Y147" s="62">
        <v>85</v>
      </c>
      <c r="Z147" s="62">
        <v>49</v>
      </c>
      <c r="AA147" s="62">
        <v>121</v>
      </c>
      <c r="AB147" s="62">
        <v>65</v>
      </c>
      <c r="AC147" s="62" t="s">
        <v>42</v>
      </c>
      <c r="AD147" s="62" t="s">
        <v>42</v>
      </c>
      <c r="AE147" s="63">
        <v>1261</v>
      </c>
      <c r="AF147" s="63">
        <v>72</v>
      </c>
      <c r="AG147" s="63">
        <v>7</v>
      </c>
      <c r="AH147" s="63">
        <v>398</v>
      </c>
      <c r="AI147" s="61">
        <v>60</v>
      </c>
      <c r="AJ147" s="61">
        <v>24</v>
      </c>
      <c r="AK147" s="61"/>
      <c r="AL147" s="61">
        <v>43</v>
      </c>
      <c r="AM147" s="61">
        <v>1731</v>
      </c>
      <c r="AN147" s="61">
        <v>127</v>
      </c>
      <c r="AO147" s="64">
        <v>21.13</v>
      </c>
      <c r="AP147" s="64">
        <v>2.959</v>
      </c>
      <c r="AQ147" s="64">
        <v>20.313</v>
      </c>
      <c r="AR147" s="64">
        <v>9.245</v>
      </c>
      <c r="AS147" s="9"/>
    </row>
    <row r="148" spans="1:45" ht="51">
      <c r="A148" s="56">
        <v>91</v>
      </c>
      <c r="B148" s="57" t="s">
        <v>213</v>
      </c>
      <c r="C148" s="58">
        <v>0.2125</v>
      </c>
      <c r="D148" s="59">
        <v>55.26</v>
      </c>
      <c r="E148" s="59" t="s">
        <v>215</v>
      </c>
      <c r="F148" s="59"/>
      <c r="G148" s="59">
        <v>12</v>
      </c>
      <c r="H148" s="59" t="s">
        <v>441</v>
      </c>
      <c r="I148" s="59"/>
      <c r="J148" s="59" t="s">
        <v>217</v>
      </c>
      <c r="K148" s="60"/>
      <c r="L148" s="59">
        <v>114</v>
      </c>
      <c r="M148" s="59" t="s">
        <v>442</v>
      </c>
      <c r="N148" s="59"/>
      <c r="O148" s="61">
        <f>0+0</f>
        <v>0</v>
      </c>
      <c r="P148" s="62" t="s">
        <v>120</v>
      </c>
      <c r="Q148" s="61">
        <f>0+0</f>
        <v>0</v>
      </c>
      <c r="R148" s="61">
        <v>12</v>
      </c>
      <c r="S148" s="61">
        <v>114</v>
      </c>
      <c r="T148" s="62"/>
      <c r="U148" s="62"/>
      <c r="V148" s="61"/>
      <c r="W148" s="61"/>
      <c r="X148" s="62">
        <v>114</v>
      </c>
      <c r="Y148" s="62"/>
      <c r="Z148" s="62"/>
      <c r="AA148" s="62">
        <v>121</v>
      </c>
      <c r="AB148" s="62">
        <v>65</v>
      </c>
      <c r="AC148" s="62" t="s">
        <v>42</v>
      </c>
      <c r="AD148" s="62" t="s">
        <v>42</v>
      </c>
      <c r="AE148" s="63"/>
      <c r="AF148" s="63"/>
      <c r="AG148" s="63"/>
      <c r="AH148" s="63">
        <v>114</v>
      </c>
      <c r="AI148" s="61"/>
      <c r="AJ148" s="61"/>
      <c r="AK148" s="61"/>
      <c r="AL148" s="61">
        <v>12</v>
      </c>
      <c r="AM148" s="61">
        <v>114</v>
      </c>
      <c r="AN148" s="61">
        <v>12</v>
      </c>
      <c r="AO148" s="64" t="s">
        <v>20</v>
      </c>
      <c r="AP148" s="64" t="s">
        <v>20</v>
      </c>
      <c r="AQ148" s="64" t="s">
        <v>20</v>
      </c>
      <c r="AR148" s="64">
        <v>9.721</v>
      </c>
      <c r="AS148" s="9"/>
    </row>
    <row r="149" spans="1:45" ht="89.25">
      <c r="A149" s="56">
        <v>92</v>
      </c>
      <c r="B149" s="57" t="s">
        <v>443</v>
      </c>
      <c r="C149" s="58">
        <v>3.0345</v>
      </c>
      <c r="D149" s="59">
        <v>571.6</v>
      </c>
      <c r="E149" s="59" t="s">
        <v>444</v>
      </c>
      <c r="F149" s="59"/>
      <c r="G149" s="59">
        <v>1735</v>
      </c>
      <c r="H149" s="59" t="s">
        <v>445</v>
      </c>
      <c r="I149" s="59"/>
      <c r="J149" s="59" t="s">
        <v>446</v>
      </c>
      <c r="K149" s="60"/>
      <c r="L149" s="59">
        <v>10962</v>
      </c>
      <c r="M149" s="59" t="s">
        <v>447</v>
      </c>
      <c r="N149" s="59"/>
      <c r="O149" s="61">
        <f>0+0</f>
        <v>0</v>
      </c>
      <c r="P149" s="62" t="s">
        <v>120</v>
      </c>
      <c r="Q149" s="61">
        <f>0+0</f>
        <v>0</v>
      </c>
      <c r="R149" s="61">
        <v>1735</v>
      </c>
      <c r="S149" s="61">
        <v>10962</v>
      </c>
      <c r="T149" s="62"/>
      <c r="U149" s="62"/>
      <c r="V149" s="61"/>
      <c r="W149" s="61"/>
      <c r="X149" s="62">
        <v>10962</v>
      </c>
      <c r="Y149" s="62"/>
      <c r="Z149" s="62"/>
      <c r="AA149" s="62">
        <v>121</v>
      </c>
      <c r="AB149" s="62">
        <v>65</v>
      </c>
      <c r="AC149" s="62" t="s">
        <v>42</v>
      </c>
      <c r="AD149" s="62" t="s">
        <v>42</v>
      </c>
      <c r="AE149" s="63"/>
      <c r="AF149" s="63"/>
      <c r="AG149" s="63"/>
      <c r="AH149" s="63">
        <v>10962</v>
      </c>
      <c r="AI149" s="61"/>
      <c r="AJ149" s="61"/>
      <c r="AK149" s="61"/>
      <c r="AL149" s="61">
        <v>1735</v>
      </c>
      <c r="AM149" s="61">
        <v>10962</v>
      </c>
      <c r="AN149" s="61">
        <v>1735</v>
      </c>
      <c r="AO149" s="64" t="s">
        <v>20</v>
      </c>
      <c r="AP149" s="64" t="s">
        <v>20</v>
      </c>
      <c r="AQ149" s="64" t="s">
        <v>20</v>
      </c>
      <c r="AR149" s="64">
        <v>6.32</v>
      </c>
      <c r="AS149" s="9"/>
    </row>
    <row r="150" spans="1:45" ht="12.75">
      <c r="A150" s="87" t="s">
        <v>67</v>
      </c>
      <c r="B150" s="88"/>
      <c r="C150" s="88"/>
      <c r="D150" s="88"/>
      <c r="E150" s="88"/>
      <c r="F150" s="88"/>
      <c r="G150" s="84">
        <v>8800</v>
      </c>
      <c r="H150" s="59"/>
      <c r="I150" s="59"/>
      <c r="J150" s="59"/>
      <c r="K150" s="60"/>
      <c r="L150" s="84">
        <v>84077</v>
      </c>
      <c r="M150" s="59"/>
      <c r="N150" s="59"/>
      <c r="O150" s="65" t="s">
        <v>60</v>
      </c>
      <c r="P150" s="66" t="s">
        <v>60</v>
      </c>
      <c r="Q150" s="65" t="s">
        <v>60</v>
      </c>
      <c r="R150" s="65" t="s">
        <v>60</v>
      </c>
      <c r="S150" s="65" t="s">
        <v>60</v>
      </c>
      <c r="T150" s="66" t="s">
        <v>60</v>
      </c>
      <c r="U150" s="66" t="s">
        <v>60</v>
      </c>
      <c r="V150" s="65" t="s">
        <v>60</v>
      </c>
      <c r="W150" s="65" t="s">
        <v>60</v>
      </c>
      <c r="X150" s="66" t="s">
        <v>60</v>
      </c>
      <c r="Y150" s="66" t="s">
        <v>60</v>
      </c>
      <c r="Z150" s="66" t="s">
        <v>60</v>
      </c>
      <c r="AA150" s="66" t="s">
        <v>60</v>
      </c>
      <c r="AB150" s="66" t="s">
        <v>60</v>
      </c>
      <c r="AC150" s="66" t="s">
        <v>60</v>
      </c>
      <c r="AD150" s="66" t="s">
        <v>60</v>
      </c>
      <c r="AE150" s="67" t="s">
        <v>60</v>
      </c>
      <c r="AF150" s="67" t="s">
        <v>60</v>
      </c>
      <c r="AG150" s="67" t="s">
        <v>60</v>
      </c>
      <c r="AH150" s="67" t="s">
        <v>60</v>
      </c>
      <c r="AI150" s="65" t="s">
        <v>60</v>
      </c>
      <c r="AJ150" s="65" t="s">
        <v>60</v>
      </c>
      <c r="AK150" s="65" t="s">
        <v>60</v>
      </c>
      <c r="AL150" s="65" t="s">
        <v>60</v>
      </c>
      <c r="AM150" s="65"/>
      <c r="AN150" s="65"/>
      <c r="AO150" s="68" t="s">
        <v>60</v>
      </c>
      <c r="AP150" s="68" t="s">
        <v>60</v>
      </c>
      <c r="AQ150" s="68" t="s">
        <v>60</v>
      </c>
      <c r="AR150" s="68" t="s">
        <v>60</v>
      </c>
      <c r="AS150" s="9"/>
    </row>
    <row r="151" spans="1:45" ht="42" customHeight="1">
      <c r="A151" s="87" t="s">
        <v>458</v>
      </c>
      <c r="B151" s="88"/>
      <c r="C151" s="88"/>
      <c r="D151" s="88"/>
      <c r="E151" s="88"/>
      <c r="F151" s="88"/>
      <c r="G151" s="84"/>
      <c r="H151" s="59"/>
      <c r="I151" s="59"/>
      <c r="J151" s="59"/>
      <c r="K151" s="60"/>
      <c r="L151" s="84">
        <v>114412</v>
      </c>
      <c r="M151" s="59"/>
      <c r="N151" s="59"/>
      <c r="O151" s="65" t="s">
        <v>60</v>
      </c>
      <c r="P151" s="66" t="s">
        <v>60</v>
      </c>
      <c r="Q151" s="65" t="s">
        <v>60</v>
      </c>
      <c r="R151" s="65" t="s">
        <v>60</v>
      </c>
      <c r="S151" s="65" t="s">
        <v>60</v>
      </c>
      <c r="T151" s="66" t="s">
        <v>60</v>
      </c>
      <c r="U151" s="66" t="s">
        <v>60</v>
      </c>
      <c r="V151" s="65" t="s">
        <v>60</v>
      </c>
      <c r="W151" s="65" t="s">
        <v>60</v>
      </c>
      <c r="X151" s="66" t="s">
        <v>60</v>
      </c>
      <c r="Y151" s="66" t="s">
        <v>60</v>
      </c>
      <c r="Z151" s="66" t="s">
        <v>60</v>
      </c>
      <c r="AA151" s="66" t="s">
        <v>60</v>
      </c>
      <c r="AB151" s="66" t="s">
        <v>60</v>
      </c>
      <c r="AC151" s="66" t="s">
        <v>60</v>
      </c>
      <c r="AD151" s="66" t="s">
        <v>60</v>
      </c>
      <c r="AE151" s="67" t="s">
        <v>60</v>
      </c>
      <c r="AF151" s="67" t="s">
        <v>60</v>
      </c>
      <c r="AG151" s="67" t="s">
        <v>60</v>
      </c>
      <c r="AH151" s="67" t="s">
        <v>60</v>
      </c>
      <c r="AI151" s="65" t="s">
        <v>60</v>
      </c>
      <c r="AJ151" s="65" t="s">
        <v>60</v>
      </c>
      <c r="AK151" s="65" t="s">
        <v>60</v>
      </c>
      <c r="AL151" s="65" t="s">
        <v>60</v>
      </c>
      <c r="AM151" s="65"/>
      <c r="AN151" s="65"/>
      <c r="AO151" s="68" t="s">
        <v>60</v>
      </c>
      <c r="AP151" s="68" t="s">
        <v>60</v>
      </c>
      <c r="AQ151" s="68" t="s">
        <v>60</v>
      </c>
      <c r="AR151" s="68" t="s">
        <v>60</v>
      </c>
      <c r="AS151" s="9"/>
    </row>
    <row r="152" spans="1:45" ht="12.75">
      <c r="A152" s="89" t="s">
        <v>448</v>
      </c>
      <c r="B152" s="90"/>
      <c r="C152" s="90"/>
      <c r="D152" s="90"/>
      <c r="E152" s="90"/>
      <c r="F152" s="90"/>
      <c r="G152" s="85">
        <v>8800</v>
      </c>
      <c r="H152" s="69"/>
      <c r="I152" s="69"/>
      <c r="J152" s="69"/>
      <c r="K152" s="70"/>
      <c r="L152" s="85">
        <v>114412</v>
      </c>
      <c r="M152" s="69"/>
      <c r="N152" s="69"/>
      <c r="O152" s="71" t="s">
        <v>60</v>
      </c>
      <c r="P152" s="72" t="s">
        <v>60</v>
      </c>
      <c r="Q152" s="71" t="s">
        <v>60</v>
      </c>
      <c r="R152" s="71" t="s">
        <v>60</v>
      </c>
      <c r="S152" s="71" t="s">
        <v>60</v>
      </c>
      <c r="T152" s="72" t="s">
        <v>60</v>
      </c>
      <c r="U152" s="72" t="s">
        <v>60</v>
      </c>
      <c r="V152" s="71" t="s">
        <v>60</v>
      </c>
      <c r="W152" s="71" t="s">
        <v>60</v>
      </c>
      <c r="X152" s="72" t="s">
        <v>60</v>
      </c>
      <c r="Y152" s="72" t="s">
        <v>60</v>
      </c>
      <c r="Z152" s="72" t="s">
        <v>60</v>
      </c>
      <c r="AA152" s="72" t="s">
        <v>60</v>
      </c>
      <c r="AB152" s="72" t="s">
        <v>60</v>
      </c>
      <c r="AC152" s="72" t="s">
        <v>60</v>
      </c>
      <c r="AD152" s="72" t="s">
        <v>60</v>
      </c>
      <c r="AE152" s="73" t="s">
        <v>60</v>
      </c>
      <c r="AF152" s="73" t="s">
        <v>60</v>
      </c>
      <c r="AG152" s="73" t="s">
        <v>60</v>
      </c>
      <c r="AH152" s="73" t="s">
        <v>60</v>
      </c>
      <c r="AI152" s="71" t="s">
        <v>60</v>
      </c>
      <c r="AJ152" s="71" t="s">
        <v>60</v>
      </c>
      <c r="AK152" s="71" t="s">
        <v>60</v>
      </c>
      <c r="AL152" s="71" t="s">
        <v>60</v>
      </c>
      <c r="AM152" s="71"/>
      <c r="AN152" s="71"/>
      <c r="AO152" s="74" t="s">
        <v>60</v>
      </c>
      <c r="AP152" s="74" t="s">
        <v>60</v>
      </c>
      <c r="AQ152" s="74" t="s">
        <v>60</v>
      </c>
      <c r="AR152" s="74" t="s">
        <v>60</v>
      </c>
      <c r="AS152" s="9"/>
    </row>
    <row r="153" spans="1:45" ht="38.25">
      <c r="A153" s="87" t="s">
        <v>449</v>
      </c>
      <c r="B153" s="88"/>
      <c r="C153" s="88"/>
      <c r="D153" s="88"/>
      <c r="E153" s="88"/>
      <c r="F153" s="88"/>
      <c r="G153" s="84">
        <v>119366</v>
      </c>
      <c r="H153" s="59" t="s">
        <v>450</v>
      </c>
      <c r="I153" s="59" t="s">
        <v>451</v>
      </c>
      <c r="J153" s="59"/>
      <c r="K153" s="60"/>
      <c r="L153" s="84">
        <v>890762</v>
      </c>
      <c r="M153" s="59" t="s">
        <v>452</v>
      </c>
      <c r="N153" s="59" t="s">
        <v>453</v>
      </c>
      <c r="O153" s="65" t="s">
        <v>60</v>
      </c>
      <c r="P153" s="66" t="s">
        <v>60</v>
      </c>
      <c r="Q153" s="65" t="s">
        <v>60</v>
      </c>
      <c r="R153" s="65" t="s">
        <v>60</v>
      </c>
      <c r="S153" s="65" t="s">
        <v>60</v>
      </c>
      <c r="T153" s="66" t="s">
        <v>60</v>
      </c>
      <c r="U153" s="66" t="s">
        <v>60</v>
      </c>
      <c r="V153" s="65" t="s">
        <v>60</v>
      </c>
      <c r="W153" s="65" t="s">
        <v>60</v>
      </c>
      <c r="X153" s="66" t="s">
        <v>60</v>
      </c>
      <c r="Y153" s="66" t="s">
        <v>60</v>
      </c>
      <c r="Z153" s="66" t="s">
        <v>60</v>
      </c>
      <c r="AA153" s="66" t="s">
        <v>60</v>
      </c>
      <c r="AB153" s="66" t="s">
        <v>60</v>
      </c>
      <c r="AC153" s="66" t="s">
        <v>60</v>
      </c>
      <c r="AD153" s="66" t="s">
        <v>60</v>
      </c>
      <c r="AE153" s="67" t="s">
        <v>60</v>
      </c>
      <c r="AF153" s="67" t="s">
        <v>60</v>
      </c>
      <c r="AG153" s="67" t="s">
        <v>60</v>
      </c>
      <c r="AH153" s="67" t="s">
        <v>60</v>
      </c>
      <c r="AI153" s="65" t="s">
        <v>60</v>
      </c>
      <c r="AJ153" s="65" t="s">
        <v>60</v>
      </c>
      <c r="AK153" s="65" t="s">
        <v>60</v>
      </c>
      <c r="AL153" s="65" t="s">
        <v>60</v>
      </c>
      <c r="AM153" s="65"/>
      <c r="AN153" s="65"/>
      <c r="AO153" s="68" t="s">
        <v>60</v>
      </c>
      <c r="AP153" s="68" t="s">
        <v>60</v>
      </c>
      <c r="AQ153" s="68" t="s">
        <v>60</v>
      </c>
      <c r="AR153" s="68" t="s">
        <v>60</v>
      </c>
      <c r="AS153" s="9"/>
    </row>
    <row r="154" spans="1:45" ht="12.75">
      <c r="A154" s="87" t="s">
        <v>61</v>
      </c>
      <c r="B154" s="88"/>
      <c r="C154" s="88"/>
      <c r="D154" s="88"/>
      <c r="E154" s="88"/>
      <c r="F154" s="88"/>
      <c r="G154" s="84"/>
      <c r="H154" s="59"/>
      <c r="I154" s="59"/>
      <c r="J154" s="59"/>
      <c r="K154" s="60"/>
      <c r="L154" s="84"/>
      <c r="M154" s="59"/>
      <c r="N154" s="59"/>
      <c r="O154" s="65" t="s">
        <v>60</v>
      </c>
      <c r="P154" s="66" t="s">
        <v>60</v>
      </c>
      <c r="Q154" s="65" t="s">
        <v>60</v>
      </c>
      <c r="R154" s="65" t="s">
        <v>60</v>
      </c>
      <c r="S154" s="65" t="s">
        <v>60</v>
      </c>
      <c r="T154" s="66" t="s">
        <v>60</v>
      </c>
      <c r="U154" s="66" t="s">
        <v>60</v>
      </c>
      <c r="V154" s="65" t="s">
        <v>60</v>
      </c>
      <c r="W154" s="65" t="s">
        <v>60</v>
      </c>
      <c r="X154" s="66" t="s">
        <v>60</v>
      </c>
      <c r="Y154" s="66" t="s">
        <v>60</v>
      </c>
      <c r="Z154" s="66" t="s">
        <v>60</v>
      </c>
      <c r="AA154" s="66" t="s">
        <v>60</v>
      </c>
      <c r="AB154" s="66" t="s">
        <v>60</v>
      </c>
      <c r="AC154" s="66" t="s">
        <v>60</v>
      </c>
      <c r="AD154" s="66" t="s">
        <v>60</v>
      </c>
      <c r="AE154" s="67" t="s">
        <v>60</v>
      </c>
      <c r="AF154" s="67" t="s">
        <v>60</v>
      </c>
      <c r="AG154" s="67" t="s">
        <v>60</v>
      </c>
      <c r="AH154" s="67" t="s">
        <v>60</v>
      </c>
      <c r="AI154" s="65" t="s">
        <v>60</v>
      </c>
      <c r="AJ154" s="65" t="s">
        <v>60</v>
      </c>
      <c r="AK154" s="65" t="s">
        <v>60</v>
      </c>
      <c r="AL154" s="65" t="s">
        <v>60</v>
      </c>
      <c r="AM154" s="65"/>
      <c r="AN154" s="65"/>
      <c r="AO154" s="68" t="s">
        <v>60</v>
      </c>
      <c r="AP154" s="68" t="s">
        <v>60</v>
      </c>
      <c r="AQ154" s="68" t="s">
        <v>60</v>
      </c>
      <c r="AR154" s="68" t="s">
        <v>60</v>
      </c>
      <c r="AS154" s="9"/>
    </row>
    <row r="155" spans="1:45" ht="12.75">
      <c r="A155" s="87" t="s">
        <v>62</v>
      </c>
      <c r="B155" s="88"/>
      <c r="C155" s="88"/>
      <c r="D155" s="88"/>
      <c r="E155" s="88"/>
      <c r="F155" s="88"/>
      <c r="G155" s="84">
        <v>5370</v>
      </c>
      <c r="H155" s="59"/>
      <c r="I155" s="59"/>
      <c r="J155" s="59"/>
      <c r="K155" s="60"/>
      <c r="L155" s="84">
        <v>113514</v>
      </c>
      <c r="M155" s="59"/>
      <c r="N155" s="59"/>
      <c r="O155" s="65" t="s">
        <v>60</v>
      </c>
      <c r="P155" s="66" t="s">
        <v>60</v>
      </c>
      <c r="Q155" s="65" t="s">
        <v>60</v>
      </c>
      <c r="R155" s="65" t="s">
        <v>60</v>
      </c>
      <c r="S155" s="65" t="s">
        <v>60</v>
      </c>
      <c r="T155" s="66" t="s">
        <v>60</v>
      </c>
      <c r="U155" s="66" t="s">
        <v>60</v>
      </c>
      <c r="V155" s="65" t="s">
        <v>60</v>
      </c>
      <c r="W155" s="65" t="s">
        <v>60</v>
      </c>
      <c r="X155" s="66" t="s">
        <v>60</v>
      </c>
      <c r="Y155" s="66" t="s">
        <v>60</v>
      </c>
      <c r="Z155" s="66" t="s">
        <v>60</v>
      </c>
      <c r="AA155" s="66" t="s">
        <v>60</v>
      </c>
      <c r="AB155" s="66" t="s">
        <v>60</v>
      </c>
      <c r="AC155" s="66" t="s">
        <v>60</v>
      </c>
      <c r="AD155" s="66" t="s">
        <v>60</v>
      </c>
      <c r="AE155" s="67" t="s">
        <v>60</v>
      </c>
      <c r="AF155" s="67" t="s">
        <v>60</v>
      </c>
      <c r="AG155" s="67" t="s">
        <v>60</v>
      </c>
      <c r="AH155" s="67" t="s">
        <v>60</v>
      </c>
      <c r="AI155" s="65" t="s">
        <v>60</v>
      </c>
      <c r="AJ155" s="65" t="s">
        <v>60</v>
      </c>
      <c r="AK155" s="65" t="s">
        <v>60</v>
      </c>
      <c r="AL155" s="65" t="s">
        <v>60</v>
      </c>
      <c r="AM155" s="65"/>
      <c r="AN155" s="65"/>
      <c r="AO155" s="68" t="s">
        <v>60</v>
      </c>
      <c r="AP155" s="68" t="s">
        <v>60</v>
      </c>
      <c r="AQ155" s="68" t="s">
        <v>60</v>
      </c>
      <c r="AR155" s="68" t="s">
        <v>60</v>
      </c>
      <c r="AS155" s="9"/>
    </row>
    <row r="156" spans="1:45" ht="12.75">
      <c r="A156" s="87" t="s">
        <v>187</v>
      </c>
      <c r="B156" s="88"/>
      <c r="C156" s="88"/>
      <c r="D156" s="88"/>
      <c r="E156" s="88"/>
      <c r="F156" s="88"/>
      <c r="G156" s="84">
        <v>104350</v>
      </c>
      <c r="H156" s="59"/>
      <c r="I156" s="59"/>
      <c r="J156" s="59"/>
      <c r="K156" s="60"/>
      <c r="L156" s="84">
        <v>705949</v>
      </c>
      <c r="M156" s="59"/>
      <c r="N156" s="59"/>
      <c r="O156" s="65" t="s">
        <v>60</v>
      </c>
      <c r="P156" s="66" t="s">
        <v>60</v>
      </c>
      <c r="Q156" s="65" t="s">
        <v>60</v>
      </c>
      <c r="R156" s="65" t="s">
        <v>60</v>
      </c>
      <c r="S156" s="65" t="s">
        <v>60</v>
      </c>
      <c r="T156" s="66" t="s">
        <v>60</v>
      </c>
      <c r="U156" s="66" t="s">
        <v>60</v>
      </c>
      <c r="V156" s="65" t="s">
        <v>60</v>
      </c>
      <c r="W156" s="65" t="s">
        <v>60</v>
      </c>
      <c r="X156" s="66" t="s">
        <v>60</v>
      </c>
      <c r="Y156" s="66" t="s">
        <v>60</v>
      </c>
      <c r="Z156" s="66" t="s">
        <v>60</v>
      </c>
      <c r="AA156" s="66" t="s">
        <v>60</v>
      </c>
      <c r="AB156" s="66" t="s">
        <v>60</v>
      </c>
      <c r="AC156" s="66" t="s">
        <v>60</v>
      </c>
      <c r="AD156" s="66" t="s">
        <v>60</v>
      </c>
      <c r="AE156" s="67" t="s">
        <v>60</v>
      </c>
      <c r="AF156" s="67" t="s">
        <v>60</v>
      </c>
      <c r="AG156" s="67" t="s">
        <v>60</v>
      </c>
      <c r="AH156" s="67" t="s">
        <v>60</v>
      </c>
      <c r="AI156" s="65" t="s">
        <v>60</v>
      </c>
      <c r="AJ156" s="65" t="s">
        <v>60</v>
      </c>
      <c r="AK156" s="65" t="s">
        <v>60</v>
      </c>
      <c r="AL156" s="65" t="s">
        <v>60</v>
      </c>
      <c r="AM156" s="65"/>
      <c r="AN156" s="65"/>
      <c r="AO156" s="68" t="s">
        <v>60</v>
      </c>
      <c r="AP156" s="68" t="s">
        <v>60</v>
      </c>
      <c r="AQ156" s="68" t="s">
        <v>60</v>
      </c>
      <c r="AR156" s="68" t="s">
        <v>60</v>
      </c>
      <c r="AS156" s="9"/>
    </row>
    <row r="157" spans="1:45" ht="12.75">
      <c r="A157" s="87" t="s">
        <v>63</v>
      </c>
      <c r="B157" s="88"/>
      <c r="C157" s="88"/>
      <c r="D157" s="88"/>
      <c r="E157" s="88"/>
      <c r="F157" s="88"/>
      <c r="G157" s="84">
        <v>9646</v>
      </c>
      <c r="H157" s="59"/>
      <c r="I157" s="59"/>
      <c r="J157" s="59"/>
      <c r="K157" s="60"/>
      <c r="L157" s="84">
        <v>71299</v>
      </c>
      <c r="M157" s="59"/>
      <c r="N157" s="59"/>
      <c r="O157" s="65" t="s">
        <v>60</v>
      </c>
      <c r="P157" s="66" t="s">
        <v>60</v>
      </c>
      <c r="Q157" s="65" t="s">
        <v>60</v>
      </c>
      <c r="R157" s="65" t="s">
        <v>60</v>
      </c>
      <c r="S157" s="65" t="s">
        <v>60</v>
      </c>
      <c r="T157" s="66" t="s">
        <v>60</v>
      </c>
      <c r="U157" s="66" t="s">
        <v>60</v>
      </c>
      <c r="V157" s="65" t="s">
        <v>60</v>
      </c>
      <c r="W157" s="65" t="s">
        <v>60</v>
      </c>
      <c r="X157" s="66" t="s">
        <v>60</v>
      </c>
      <c r="Y157" s="66" t="s">
        <v>60</v>
      </c>
      <c r="Z157" s="66" t="s">
        <v>60</v>
      </c>
      <c r="AA157" s="66" t="s">
        <v>60</v>
      </c>
      <c r="AB157" s="66" t="s">
        <v>60</v>
      </c>
      <c r="AC157" s="66" t="s">
        <v>60</v>
      </c>
      <c r="AD157" s="66" t="s">
        <v>60</v>
      </c>
      <c r="AE157" s="67" t="s">
        <v>60</v>
      </c>
      <c r="AF157" s="67" t="s">
        <v>60</v>
      </c>
      <c r="AG157" s="67" t="s">
        <v>60</v>
      </c>
      <c r="AH157" s="67" t="s">
        <v>60</v>
      </c>
      <c r="AI157" s="65" t="s">
        <v>60</v>
      </c>
      <c r="AJ157" s="65" t="s">
        <v>60</v>
      </c>
      <c r="AK157" s="65" t="s">
        <v>60</v>
      </c>
      <c r="AL157" s="65" t="s">
        <v>60</v>
      </c>
      <c r="AM157" s="65"/>
      <c r="AN157" s="65"/>
      <c r="AO157" s="68" t="s">
        <v>60</v>
      </c>
      <c r="AP157" s="68" t="s">
        <v>60</v>
      </c>
      <c r="AQ157" s="68" t="s">
        <v>60</v>
      </c>
      <c r="AR157" s="68" t="s">
        <v>60</v>
      </c>
      <c r="AS157" s="9"/>
    </row>
    <row r="158" spans="1:45" ht="12.75">
      <c r="A158" s="87" t="s">
        <v>64</v>
      </c>
      <c r="B158" s="88"/>
      <c r="C158" s="88"/>
      <c r="D158" s="88"/>
      <c r="E158" s="88"/>
      <c r="F158" s="88"/>
      <c r="G158" s="84">
        <v>768</v>
      </c>
      <c r="H158" s="59"/>
      <c r="I158" s="59"/>
      <c r="J158" s="59"/>
      <c r="K158" s="60"/>
      <c r="L158" s="84">
        <v>15549</v>
      </c>
      <c r="M158" s="59"/>
      <c r="N158" s="59"/>
      <c r="O158" s="65" t="s">
        <v>60</v>
      </c>
      <c r="P158" s="66" t="s">
        <v>60</v>
      </c>
      <c r="Q158" s="65" t="s">
        <v>60</v>
      </c>
      <c r="R158" s="65" t="s">
        <v>60</v>
      </c>
      <c r="S158" s="65" t="s">
        <v>60</v>
      </c>
      <c r="T158" s="66" t="s">
        <v>60</v>
      </c>
      <c r="U158" s="66" t="s">
        <v>60</v>
      </c>
      <c r="V158" s="65" t="s">
        <v>60</v>
      </c>
      <c r="W158" s="65" t="s">
        <v>60</v>
      </c>
      <c r="X158" s="66" t="s">
        <v>60</v>
      </c>
      <c r="Y158" s="66" t="s">
        <v>60</v>
      </c>
      <c r="Z158" s="66" t="s">
        <v>60</v>
      </c>
      <c r="AA158" s="66" t="s">
        <v>60</v>
      </c>
      <c r="AB158" s="66" t="s">
        <v>60</v>
      </c>
      <c r="AC158" s="66" t="s">
        <v>60</v>
      </c>
      <c r="AD158" s="66" t="s">
        <v>60</v>
      </c>
      <c r="AE158" s="67" t="s">
        <v>60</v>
      </c>
      <c r="AF158" s="67" t="s">
        <v>60</v>
      </c>
      <c r="AG158" s="67" t="s">
        <v>60</v>
      </c>
      <c r="AH158" s="67" t="s">
        <v>60</v>
      </c>
      <c r="AI158" s="65" t="s">
        <v>60</v>
      </c>
      <c r="AJ158" s="65" t="s">
        <v>60</v>
      </c>
      <c r="AK158" s="65" t="s">
        <v>60</v>
      </c>
      <c r="AL158" s="65" t="s">
        <v>60</v>
      </c>
      <c r="AM158" s="65"/>
      <c r="AN158" s="65"/>
      <c r="AO158" s="68" t="s">
        <v>60</v>
      </c>
      <c r="AP158" s="68" t="s">
        <v>60</v>
      </c>
      <c r="AQ158" s="68" t="s">
        <v>60</v>
      </c>
      <c r="AR158" s="68" t="s">
        <v>60</v>
      </c>
      <c r="AS158" s="9"/>
    </row>
    <row r="159" spans="1:45" ht="12.75">
      <c r="A159" s="89" t="s">
        <v>65</v>
      </c>
      <c r="B159" s="90"/>
      <c r="C159" s="90"/>
      <c r="D159" s="90"/>
      <c r="E159" s="90"/>
      <c r="F159" s="90"/>
      <c r="G159" s="85">
        <v>7540</v>
      </c>
      <c r="H159" s="69"/>
      <c r="I159" s="69"/>
      <c r="J159" s="69"/>
      <c r="K159" s="70"/>
      <c r="L159" s="85">
        <v>134777</v>
      </c>
      <c r="M159" s="69"/>
      <c r="N159" s="69"/>
      <c r="O159" s="71" t="s">
        <v>60</v>
      </c>
      <c r="P159" s="72" t="s">
        <v>60</v>
      </c>
      <c r="Q159" s="71" t="s">
        <v>60</v>
      </c>
      <c r="R159" s="71" t="s">
        <v>60</v>
      </c>
      <c r="S159" s="71" t="s">
        <v>60</v>
      </c>
      <c r="T159" s="72" t="s">
        <v>60</v>
      </c>
      <c r="U159" s="72" t="s">
        <v>60</v>
      </c>
      <c r="V159" s="71" t="s">
        <v>60</v>
      </c>
      <c r="W159" s="71" t="s">
        <v>60</v>
      </c>
      <c r="X159" s="72" t="s">
        <v>60</v>
      </c>
      <c r="Y159" s="72" t="s">
        <v>60</v>
      </c>
      <c r="Z159" s="72" t="s">
        <v>60</v>
      </c>
      <c r="AA159" s="72" t="s">
        <v>60</v>
      </c>
      <c r="AB159" s="72" t="s">
        <v>60</v>
      </c>
      <c r="AC159" s="72" t="s">
        <v>60</v>
      </c>
      <c r="AD159" s="72" t="s">
        <v>60</v>
      </c>
      <c r="AE159" s="73" t="s">
        <v>60</v>
      </c>
      <c r="AF159" s="73" t="s">
        <v>60</v>
      </c>
      <c r="AG159" s="73" t="s">
        <v>60</v>
      </c>
      <c r="AH159" s="73" t="s">
        <v>60</v>
      </c>
      <c r="AI159" s="71" t="s">
        <v>60</v>
      </c>
      <c r="AJ159" s="71" t="s">
        <v>60</v>
      </c>
      <c r="AK159" s="71" t="s">
        <v>60</v>
      </c>
      <c r="AL159" s="71" t="s">
        <v>60</v>
      </c>
      <c r="AM159" s="71"/>
      <c r="AN159" s="71"/>
      <c r="AO159" s="74" t="s">
        <v>60</v>
      </c>
      <c r="AP159" s="74" t="s">
        <v>60</v>
      </c>
      <c r="AQ159" s="74" t="s">
        <v>60</v>
      </c>
      <c r="AR159" s="74" t="s">
        <v>60</v>
      </c>
      <c r="AS159" s="9"/>
    </row>
    <row r="160" spans="1:45" ht="12.75">
      <c r="A160" s="89" t="s">
        <v>66</v>
      </c>
      <c r="B160" s="90"/>
      <c r="C160" s="90"/>
      <c r="D160" s="90"/>
      <c r="E160" s="90"/>
      <c r="F160" s="90"/>
      <c r="G160" s="85">
        <v>4255</v>
      </c>
      <c r="H160" s="69"/>
      <c r="I160" s="69"/>
      <c r="J160" s="69"/>
      <c r="K160" s="70"/>
      <c r="L160" s="85">
        <v>71714</v>
      </c>
      <c r="M160" s="69"/>
      <c r="N160" s="69"/>
      <c r="O160" s="71" t="s">
        <v>60</v>
      </c>
      <c r="P160" s="72" t="s">
        <v>60</v>
      </c>
      <c r="Q160" s="71" t="s">
        <v>60</v>
      </c>
      <c r="R160" s="71" t="s">
        <v>60</v>
      </c>
      <c r="S160" s="71" t="s">
        <v>60</v>
      </c>
      <c r="T160" s="72" t="s">
        <v>60</v>
      </c>
      <c r="U160" s="72" t="s">
        <v>60</v>
      </c>
      <c r="V160" s="71" t="s">
        <v>60</v>
      </c>
      <c r="W160" s="71" t="s">
        <v>60</v>
      </c>
      <c r="X160" s="72" t="s">
        <v>60</v>
      </c>
      <c r="Y160" s="72" t="s">
        <v>60</v>
      </c>
      <c r="Z160" s="72" t="s">
        <v>60</v>
      </c>
      <c r="AA160" s="72" t="s">
        <v>60</v>
      </c>
      <c r="AB160" s="72" t="s">
        <v>60</v>
      </c>
      <c r="AC160" s="72" t="s">
        <v>60</v>
      </c>
      <c r="AD160" s="72" t="s">
        <v>60</v>
      </c>
      <c r="AE160" s="73" t="s">
        <v>60</v>
      </c>
      <c r="AF160" s="73" t="s">
        <v>60</v>
      </c>
      <c r="AG160" s="73" t="s">
        <v>60</v>
      </c>
      <c r="AH160" s="73" t="s">
        <v>60</v>
      </c>
      <c r="AI160" s="71" t="s">
        <v>60</v>
      </c>
      <c r="AJ160" s="71" t="s">
        <v>60</v>
      </c>
      <c r="AK160" s="71" t="s">
        <v>60</v>
      </c>
      <c r="AL160" s="71" t="s">
        <v>60</v>
      </c>
      <c r="AM160" s="71"/>
      <c r="AN160" s="71"/>
      <c r="AO160" s="74" t="s">
        <v>60</v>
      </c>
      <c r="AP160" s="74" t="s">
        <v>60</v>
      </c>
      <c r="AQ160" s="74" t="s">
        <v>60</v>
      </c>
      <c r="AR160" s="74" t="s">
        <v>60</v>
      </c>
      <c r="AS160" s="9"/>
    </row>
    <row r="161" spans="1:45" ht="12.75">
      <c r="A161" s="87" t="s">
        <v>67</v>
      </c>
      <c r="B161" s="88"/>
      <c r="C161" s="88"/>
      <c r="D161" s="88"/>
      <c r="E161" s="88"/>
      <c r="F161" s="88"/>
      <c r="G161" s="84">
        <v>131161</v>
      </c>
      <c r="H161" s="59"/>
      <c r="I161" s="59"/>
      <c r="J161" s="59"/>
      <c r="K161" s="60"/>
      <c r="L161" s="84">
        <v>1097253</v>
      </c>
      <c r="M161" s="59"/>
      <c r="N161" s="59"/>
      <c r="O161" s="65" t="s">
        <v>60</v>
      </c>
      <c r="P161" s="66" t="s">
        <v>60</v>
      </c>
      <c r="Q161" s="65" t="s">
        <v>60</v>
      </c>
      <c r="R161" s="65" t="s">
        <v>60</v>
      </c>
      <c r="S161" s="65" t="s">
        <v>60</v>
      </c>
      <c r="T161" s="66" t="s">
        <v>60</v>
      </c>
      <c r="U161" s="66" t="s">
        <v>60</v>
      </c>
      <c r="V161" s="65" t="s">
        <v>60</v>
      </c>
      <c r="W161" s="65" t="s">
        <v>60</v>
      </c>
      <c r="X161" s="66" t="s">
        <v>60</v>
      </c>
      <c r="Y161" s="66" t="s">
        <v>60</v>
      </c>
      <c r="Z161" s="66" t="s">
        <v>60</v>
      </c>
      <c r="AA161" s="66" t="s">
        <v>60</v>
      </c>
      <c r="AB161" s="66" t="s">
        <v>60</v>
      </c>
      <c r="AC161" s="66" t="s">
        <v>60</v>
      </c>
      <c r="AD161" s="66" t="s">
        <v>60</v>
      </c>
      <c r="AE161" s="67" t="s">
        <v>60</v>
      </c>
      <c r="AF161" s="67" t="s">
        <v>60</v>
      </c>
      <c r="AG161" s="67" t="s">
        <v>60</v>
      </c>
      <c r="AH161" s="67" t="s">
        <v>60</v>
      </c>
      <c r="AI161" s="65" t="s">
        <v>60</v>
      </c>
      <c r="AJ161" s="65" t="s">
        <v>60</v>
      </c>
      <c r="AK161" s="65" t="s">
        <v>60</v>
      </c>
      <c r="AL161" s="65" t="s">
        <v>60</v>
      </c>
      <c r="AM161" s="65"/>
      <c r="AN161" s="65"/>
      <c r="AO161" s="68" t="s">
        <v>60</v>
      </c>
      <c r="AP161" s="68" t="s">
        <v>60</v>
      </c>
      <c r="AQ161" s="68" t="s">
        <v>60</v>
      </c>
      <c r="AR161" s="68" t="s">
        <v>60</v>
      </c>
      <c r="AS161" s="9"/>
    </row>
    <row r="162" spans="1:45" ht="44.25" customHeight="1">
      <c r="A162" s="87" t="s">
        <v>455</v>
      </c>
      <c r="B162" s="88"/>
      <c r="C162" s="88"/>
      <c r="D162" s="88"/>
      <c r="E162" s="88"/>
      <c r="F162" s="88"/>
      <c r="G162" s="84"/>
      <c r="H162" s="59"/>
      <c r="I162" s="59"/>
      <c r="J162" s="59"/>
      <c r="K162" s="60"/>
      <c r="L162" s="84">
        <v>1185033</v>
      </c>
      <c r="M162" s="59"/>
      <c r="N162" s="59"/>
      <c r="O162" s="65"/>
      <c r="P162" s="66"/>
      <c r="Q162" s="65"/>
      <c r="R162" s="65"/>
      <c r="S162" s="65"/>
      <c r="T162" s="66"/>
      <c r="U162" s="66"/>
      <c r="V162" s="65"/>
      <c r="W162" s="65"/>
      <c r="X162" s="66"/>
      <c r="Y162" s="66"/>
      <c r="Z162" s="66"/>
      <c r="AA162" s="66"/>
      <c r="AB162" s="66"/>
      <c r="AC162" s="66"/>
      <c r="AD162" s="66"/>
      <c r="AE162" s="67"/>
      <c r="AF162" s="67"/>
      <c r="AG162" s="67"/>
      <c r="AH162" s="67"/>
      <c r="AI162" s="65"/>
      <c r="AJ162" s="65"/>
      <c r="AK162" s="65"/>
      <c r="AL162" s="65"/>
      <c r="AM162" s="65"/>
      <c r="AN162" s="65"/>
      <c r="AO162" s="68"/>
      <c r="AP162" s="68"/>
      <c r="AQ162" s="68"/>
      <c r="AR162" s="68"/>
      <c r="AS162" s="9"/>
    </row>
    <row r="163" spans="1:45" ht="12.75">
      <c r="A163" s="87" t="s">
        <v>456</v>
      </c>
      <c r="B163" s="91"/>
      <c r="C163" s="91"/>
      <c r="D163" s="91"/>
      <c r="E163" s="91"/>
      <c r="F163" s="91"/>
      <c r="G163" s="84"/>
      <c r="H163" s="59"/>
      <c r="I163" s="59"/>
      <c r="J163" s="59"/>
      <c r="K163" s="60"/>
      <c r="L163" s="84">
        <v>1244285</v>
      </c>
      <c r="M163" s="59"/>
      <c r="N163" s="59"/>
      <c r="O163" s="65"/>
      <c r="P163" s="66"/>
      <c r="Q163" s="65"/>
      <c r="R163" s="65"/>
      <c r="S163" s="65"/>
      <c r="T163" s="66"/>
      <c r="U163" s="66"/>
      <c r="V163" s="65"/>
      <c r="W163" s="65"/>
      <c r="X163" s="66"/>
      <c r="Y163" s="66"/>
      <c r="Z163" s="66"/>
      <c r="AA163" s="66"/>
      <c r="AB163" s="66"/>
      <c r="AC163" s="66"/>
      <c r="AD163" s="66"/>
      <c r="AE163" s="67"/>
      <c r="AF163" s="67"/>
      <c r="AG163" s="67"/>
      <c r="AH163" s="67"/>
      <c r="AI163" s="65"/>
      <c r="AJ163" s="65"/>
      <c r="AK163" s="65"/>
      <c r="AL163" s="65"/>
      <c r="AM163" s="65"/>
      <c r="AN163" s="65"/>
      <c r="AO163" s="68"/>
      <c r="AP163" s="68"/>
      <c r="AQ163" s="68"/>
      <c r="AR163" s="68"/>
      <c r="AS163" s="9"/>
    </row>
    <row r="164" spans="1:45" ht="12.75">
      <c r="A164" s="87" t="s">
        <v>457</v>
      </c>
      <c r="B164" s="91"/>
      <c r="C164" s="91"/>
      <c r="D164" s="91"/>
      <c r="E164" s="91"/>
      <c r="F164" s="91"/>
      <c r="G164" s="84"/>
      <c r="H164" s="59"/>
      <c r="I164" s="59"/>
      <c r="J164" s="59"/>
      <c r="K164" s="60"/>
      <c r="L164" s="84">
        <v>248857</v>
      </c>
      <c r="M164" s="59"/>
      <c r="N164" s="59"/>
      <c r="O164" s="65"/>
      <c r="P164" s="66"/>
      <c r="Q164" s="65"/>
      <c r="R164" s="65"/>
      <c r="S164" s="65"/>
      <c r="T164" s="66"/>
      <c r="U164" s="66"/>
      <c r="V164" s="65"/>
      <c r="W164" s="65"/>
      <c r="X164" s="66"/>
      <c r="Y164" s="66"/>
      <c r="Z164" s="66"/>
      <c r="AA164" s="66"/>
      <c r="AB164" s="66"/>
      <c r="AC164" s="66"/>
      <c r="AD164" s="66"/>
      <c r="AE164" s="67"/>
      <c r="AF164" s="67"/>
      <c r="AG164" s="67"/>
      <c r="AH164" s="67"/>
      <c r="AI164" s="65"/>
      <c r="AJ164" s="65"/>
      <c r="AK164" s="65"/>
      <c r="AL164" s="65"/>
      <c r="AM164" s="65"/>
      <c r="AN164" s="65"/>
      <c r="AO164" s="68"/>
      <c r="AP164" s="68"/>
      <c r="AQ164" s="68"/>
      <c r="AR164" s="68"/>
      <c r="AS164" s="9"/>
    </row>
    <row r="165" spans="1:45" ht="12.75">
      <c r="A165" s="89" t="s">
        <v>454</v>
      </c>
      <c r="B165" s="90"/>
      <c r="C165" s="90"/>
      <c r="D165" s="90"/>
      <c r="E165" s="90"/>
      <c r="F165" s="90"/>
      <c r="G165" s="85"/>
      <c r="H165" s="69"/>
      <c r="I165" s="69"/>
      <c r="J165" s="69"/>
      <c r="K165" s="70"/>
      <c r="L165" s="85">
        <v>1493142</v>
      </c>
      <c r="M165" s="69"/>
      <c r="N165" s="69"/>
      <c r="O165" s="71" t="s">
        <v>60</v>
      </c>
      <c r="P165" s="72" t="s">
        <v>60</v>
      </c>
      <c r="Q165" s="71" t="s">
        <v>60</v>
      </c>
      <c r="R165" s="71" t="s">
        <v>60</v>
      </c>
      <c r="S165" s="71" t="s">
        <v>60</v>
      </c>
      <c r="T165" s="72" t="s">
        <v>60</v>
      </c>
      <c r="U165" s="72" t="s">
        <v>60</v>
      </c>
      <c r="V165" s="71" t="s">
        <v>60</v>
      </c>
      <c r="W165" s="71" t="s">
        <v>60</v>
      </c>
      <c r="X165" s="72" t="s">
        <v>60</v>
      </c>
      <c r="Y165" s="72" t="s">
        <v>60</v>
      </c>
      <c r="Z165" s="72" t="s">
        <v>60</v>
      </c>
      <c r="AA165" s="72" t="s">
        <v>60</v>
      </c>
      <c r="AB165" s="72" t="s">
        <v>60</v>
      </c>
      <c r="AC165" s="72" t="s">
        <v>60</v>
      </c>
      <c r="AD165" s="72" t="s">
        <v>60</v>
      </c>
      <c r="AE165" s="73" t="s">
        <v>60</v>
      </c>
      <c r="AF165" s="73" t="s">
        <v>60</v>
      </c>
      <c r="AG165" s="73" t="s">
        <v>60</v>
      </c>
      <c r="AH165" s="73" t="s">
        <v>60</v>
      </c>
      <c r="AI165" s="71" t="s">
        <v>60</v>
      </c>
      <c r="AJ165" s="71" t="s">
        <v>60</v>
      </c>
      <c r="AK165" s="71" t="s">
        <v>60</v>
      </c>
      <c r="AL165" s="71" t="s">
        <v>60</v>
      </c>
      <c r="AM165" s="71"/>
      <c r="AN165" s="71"/>
      <c r="AO165" s="74" t="s">
        <v>60</v>
      </c>
      <c r="AP165" s="74" t="s">
        <v>60</v>
      </c>
      <c r="AQ165" s="74" t="s">
        <v>60</v>
      </c>
      <c r="AR165" s="74" t="s">
        <v>60</v>
      </c>
      <c r="AS165" s="9"/>
    </row>
    <row r="166" spans="1:45" ht="12.75">
      <c r="A166" s="51"/>
      <c r="B166" s="52"/>
      <c r="C166" s="53"/>
      <c r="D166" s="54"/>
      <c r="E166" s="54"/>
      <c r="F166" s="54"/>
      <c r="G166" s="54"/>
      <c r="H166" s="54"/>
      <c r="I166" s="54"/>
      <c r="J166" s="54"/>
      <c r="K166" s="55"/>
      <c r="L166" s="54"/>
      <c r="M166" s="54"/>
      <c r="N166" s="54"/>
      <c r="O166" s="43"/>
      <c r="P166" s="44"/>
      <c r="Q166" s="43"/>
      <c r="R166" s="43"/>
      <c r="S166" s="43"/>
      <c r="T166" s="44"/>
      <c r="U166" s="44"/>
      <c r="V166" s="43"/>
      <c r="W166" s="43"/>
      <c r="X166" s="44"/>
      <c r="Y166" s="44"/>
      <c r="Z166" s="44"/>
      <c r="AA166" s="44"/>
      <c r="AB166" s="44"/>
      <c r="AC166" s="44"/>
      <c r="AD166" s="44"/>
      <c r="AE166" s="45"/>
      <c r="AF166" s="45"/>
      <c r="AG166" s="45"/>
      <c r="AH166" s="45"/>
      <c r="AI166" s="43"/>
      <c r="AJ166" s="43"/>
      <c r="AK166" s="43"/>
      <c r="AL166" s="43"/>
      <c r="AM166" s="43"/>
      <c r="AN166" s="43"/>
      <c r="AO166" s="46"/>
      <c r="AP166" s="46"/>
      <c r="AQ166" s="46"/>
      <c r="AR166" s="46"/>
      <c r="AS166" s="9"/>
    </row>
    <row r="167" spans="15:47" ht="12.75"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47"/>
      <c r="AT167" s="47"/>
      <c r="AU167" s="47"/>
    </row>
    <row r="168" spans="1:45" ht="12.75">
      <c r="A168" s="48"/>
      <c r="D168" s="49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9"/>
    </row>
    <row r="169" spans="1:45" ht="12.75">
      <c r="A169" s="50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9"/>
    </row>
    <row r="170" spans="1:45" ht="12.75">
      <c r="A170" s="4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9"/>
    </row>
    <row r="171" spans="15:45" ht="12.75"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9"/>
    </row>
    <row r="172" spans="15:45" ht="12.75"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9"/>
    </row>
    <row r="173" spans="15:45" ht="12.75"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9"/>
    </row>
    <row r="174" spans="15:45" ht="12.75"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9"/>
    </row>
    <row r="175" spans="15:45" ht="12.75"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9"/>
    </row>
    <row r="176" spans="15:45" ht="12.75"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9"/>
    </row>
    <row r="177" spans="15:45" ht="12.75"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9"/>
    </row>
    <row r="178" spans="15:45" ht="12.75"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9"/>
    </row>
    <row r="179" spans="15:45" ht="12.75"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9"/>
    </row>
    <row r="180" spans="15:45" ht="12.75"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9"/>
    </row>
    <row r="181" spans="15:45" ht="12.75"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9"/>
    </row>
    <row r="182" spans="15:45" ht="12.75"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9"/>
    </row>
    <row r="183" spans="15:45" ht="12.75"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9"/>
    </row>
    <row r="184" spans="15:45" ht="12.75"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9"/>
    </row>
    <row r="185" spans="15:45" ht="12.75"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9"/>
    </row>
    <row r="186" spans="15:45" ht="12.75"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9"/>
    </row>
    <row r="187" spans="15:45" ht="12.75"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9"/>
    </row>
    <row r="188" spans="15:45" ht="12.75"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9"/>
    </row>
    <row r="189" spans="15:45" ht="12.75"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9"/>
    </row>
    <row r="190" spans="15:45" ht="12.75"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9"/>
    </row>
    <row r="191" spans="15:45" ht="12.75"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9"/>
    </row>
    <row r="192" spans="15:45" ht="12.75"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9"/>
    </row>
    <row r="193" spans="15:45" ht="12.75"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9"/>
    </row>
    <row r="194" spans="15:45" ht="12.75"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9"/>
    </row>
    <row r="195" spans="15:45" ht="12.75"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9"/>
    </row>
    <row r="196" spans="15:45" ht="12.75"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9"/>
    </row>
    <row r="197" spans="15:45" ht="12.75"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9"/>
    </row>
    <row r="198" spans="15:45" ht="12.75"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9"/>
    </row>
    <row r="199" spans="15:45" ht="12.75"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9"/>
    </row>
    <row r="200" spans="15:45" ht="12.75"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9"/>
    </row>
    <row r="201" spans="15:45" ht="12.75"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9"/>
    </row>
    <row r="202" spans="15:45" ht="12.75"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9"/>
    </row>
    <row r="203" spans="15:45" ht="12.75"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9"/>
    </row>
    <row r="204" spans="15:45" ht="12.75"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9"/>
    </row>
    <row r="205" spans="15:45" ht="12.75"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9"/>
    </row>
    <row r="206" spans="15:45" ht="12.75"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9"/>
    </row>
    <row r="207" spans="15:45" ht="12.75"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9"/>
    </row>
    <row r="208" spans="15:45" ht="12.75"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9"/>
    </row>
    <row r="209" spans="15:45" ht="12.75"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9"/>
    </row>
    <row r="210" spans="15:45" ht="12.75"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9"/>
    </row>
    <row r="211" spans="15:45" ht="12.75"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9"/>
    </row>
    <row r="212" spans="15:45" ht="12.75"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9"/>
    </row>
    <row r="213" spans="15:45" ht="12.75"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9"/>
    </row>
    <row r="214" spans="15:45" ht="12.75"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9"/>
    </row>
    <row r="215" spans="15:45" ht="12.75"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9"/>
    </row>
    <row r="216" spans="15:45" ht="12.75"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9"/>
    </row>
    <row r="217" spans="15:45" ht="12.75"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9"/>
    </row>
    <row r="218" spans="15:45" ht="12.75"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9"/>
    </row>
    <row r="219" spans="15:45" ht="12.75"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9"/>
    </row>
    <row r="220" spans="15:45" ht="12.75"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9"/>
    </row>
    <row r="221" spans="15:45" ht="12.75"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9"/>
    </row>
    <row r="222" spans="15:45" ht="12.75"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9"/>
    </row>
    <row r="223" spans="15:45" ht="12.75"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9"/>
    </row>
    <row r="224" spans="15:45" ht="12.75"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9"/>
    </row>
    <row r="225" spans="15:45" ht="12.75"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9"/>
    </row>
    <row r="226" spans="15:45" ht="12.75"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9"/>
    </row>
    <row r="227" spans="15:45" ht="12.75"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9"/>
    </row>
    <row r="228" spans="15:45" ht="12.75"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9"/>
    </row>
    <row r="229" spans="15:45" ht="12.75"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9"/>
    </row>
    <row r="230" spans="15:45" ht="12.75"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9"/>
    </row>
    <row r="231" spans="15:45" ht="12.75"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9"/>
    </row>
    <row r="232" spans="15:45" ht="12.75"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9"/>
    </row>
    <row r="233" spans="15:45" ht="12.75"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9"/>
    </row>
    <row r="234" spans="15:45" ht="12.75"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9"/>
    </row>
    <row r="235" spans="15:45" ht="12.75"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9"/>
    </row>
    <row r="236" spans="15:45" ht="12.75"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9"/>
    </row>
    <row r="237" spans="15:45" ht="12.75"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9"/>
    </row>
    <row r="238" spans="15:45" ht="12.75"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9"/>
    </row>
    <row r="239" spans="15:45" ht="12.75"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9"/>
    </row>
    <row r="240" spans="15:45" ht="12.75"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9"/>
    </row>
    <row r="241" spans="15:45" ht="12.75"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9"/>
    </row>
    <row r="242" spans="15:45" ht="12.75"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9"/>
    </row>
    <row r="243" spans="15:45" ht="12.75"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9"/>
    </row>
    <row r="244" spans="15:45" ht="12.75"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9"/>
    </row>
    <row r="245" spans="15:45" ht="12.75"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9"/>
    </row>
    <row r="246" spans="15:45" ht="12.75"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9"/>
    </row>
    <row r="247" spans="15:45" ht="12.75"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9"/>
    </row>
    <row r="248" spans="15:45" ht="12.75"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9"/>
    </row>
    <row r="249" spans="15:45" ht="12.75"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9"/>
    </row>
    <row r="250" spans="15:45" ht="12.75"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9"/>
    </row>
    <row r="251" spans="15:45" ht="12.75"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9"/>
    </row>
    <row r="252" spans="15:45" ht="12.75"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9"/>
    </row>
    <row r="253" spans="15:45" ht="12.75"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9"/>
    </row>
    <row r="254" spans="15:45" ht="12.75"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9"/>
    </row>
    <row r="255" spans="15:45" ht="12.75"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9"/>
    </row>
    <row r="256" spans="15:45" ht="12.75"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9"/>
    </row>
    <row r="257" spans="15:45" ht="12.75"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9"/>
    </row>
    <row r="258" spans="15:45" ht="12.75"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9"/>
    </row>
    <row r="259" spans="15:45" ht="12.75"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9"/>
    </row>
    <row r="260" spans="15:45" ht="12.75"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9"/>
    </row>
    <row r="261" spans="15:45" ht="12.75"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9"/>
    </row>
    <row r="262" spans="15:45" ht="12.75"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9"/>
    </row>
    <row r="263" spans="15:45" ht="12.75"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9"/>
    </row>
    <row r="264" spans="15:45" ht="12.75"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9"/>
    </row>
    <row r="265" spans="15:45" ht="12.75"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9"/>
    </row>
    <row r="266" spans="15:45" ht="12.75"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9"/>
    </row>
    <row r="267" spans="15:45" ht="12.75"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9"/>
    </row>
    <row r="268" spans="15:45" ht="12.75"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9"/>
    </row>
    <row r="269" spans="15:45" ht="12.75"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9"/>
    </row>
    <row r="270" spans="15:45" ht="12.75"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9"/>
    </row>
    <row r="271" spans="15:45" ht="12.75"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9"/>
    </row>
    <row r="272" spans="15:45" ht="12.75"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9"/>
    </row>
    <row r="273" spans="15:45" ht="12.75"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9"/>
    </row>
    <row r="274" spans="15:45" ht="12.75"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9"/>
    </row>
    <row r="275" spans="15:45" ht="12.75"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9"/>
    </row>
    <row r="276" spans="15:45" ht="12.75"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9"/>
    </row>
    <row r="277" spans="15:45" ht="12.75"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9"/>
    </row>
    <row r="278" spans="15:45" ht="12.75"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9"/>
    </row>
    <row r="279" spans="15:45" ht="12.75"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9"/>
    </row>
    <row r="280" spans="15:45" ht="12.75"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9"/>
    </row>
    <row r="281" spans="15:45" ht="12.75"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9"/>
    </row>
    <row r="282" spans="15:45" ht="12.75"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9"/>
    </row>
    <row r="283" spans="15:45" ht="12.75"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9"/>
    </row>
    <row r="284" spans="15:45" ht="12.75"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9"/>
    </row>
    <row r="285" spans="15:45" ht="12.75"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9"/>
    </row>
    <row r="286" spans="15:45" ht="12.75"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9"/>
    </row>
    <row r="287" spans="15:45" ht="12.75"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9"/>
    </row>
    <row r="288" spans="15:45" ht="12.75"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9"/>
    </row>
    <row r="289" spans="15:45" ht="12.75"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9"/>
    </row>
    <row r="290" spans="15:45" ht="12.75"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9"/>
    </row>
    <row r="291" spans="15:45" ht="12.75"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9"/>
    </row>
    <row r="292" spans="15:45" ht="12.75"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9"/>
    </row>
    <row r="293" spans="15:45" ht="12.75"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9"/>
    </row>
    <row r="294" spans="15:45" ht="12.75"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9"/>
    </row>
    <row r="295" spans="15:45" ht="12.75"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9"/>
    </row>
    <row r="296" spans="15:45" ht="12.75"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9"/>
    </row>
    <row r="297" spans="15:45" ht="12.75"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9"/>
    </row>
    <row r="298" spans="15:45" ht="12.75"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9"/>
    </row>
    <row r="299" spans="15:45" ht="12.75"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9"/>
    </row>
    <row r="300" spans="15:45" ht="12.75"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9"/>
    </row>
    <row r="301" spans="15:45" ht="12.75"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9"/>
    </row>
    <row r="302" spans="15:45" ht="12.75"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9"/>
    </row>
    <row r="303" spans="15:45" ht="12.75"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9"/>
    </row>
    <row r="304" spans="15:45" ht="12.75"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9"/>
    </row>
    <row r="305" spans="15:45" ht="12.75"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9"/>
    </row>
    <row r="306" spans="15:45" ht="12.75"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9"/>
    </row>
    <row r="307" spans="15:45" ht="12.75"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9"/>
    </row>
    <row r="308" spans="15:45" ht="12.75"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9"/>
    </row>
    <row r="309" spans="15:45" ht="12.75"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9"/>
    </row>
    <row r="310" spans="15:45" ht="12.75"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9"/>
    </row>
    <row r="311" spans="15:45" ht="12.75"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9"/>
    </row>
    <row r="312" spans="15:45" ht="12.75"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9"/>
    </row>
    <row r="313" spans="15:45" ht="12.75"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9"/>
    </row>
    <row r="314" spans="15:45" ht="12.75"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9"/>
    </row>
    <row r="315" spans="15:45" ht="12.75"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9"/>
    </row>
    <row r="316" spans="15:45" ht="12.75"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9"/>
    </row>
    <row r="317" spans="15:45" ht="12.75"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9"/>
    </row>
    <row r="318" spans="15:45" ht="12.75"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9"/>
    </row>
    <row r="319" spans="15:45" ht="12.75"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9"/>
    </row>
    <row r="320" spans="15:45" ht="12.75"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9"/>
    </row>
    <row r="321" spans="15:45" ht="12.75"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9"/>
    </row>
    <row r="322" spans="15:45" ht="12.75"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9"/>
    </row>
    <row r="323" spans="15:45" ht="12.75"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9"/>
    </row>
    <row r="324" spans="15:45" ht="12.75"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9"/>
    </row>
    <row r="325" spans="15:45" ht="12.75"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9"/>
    </row>
    <row r="326" spans="15:45" ht="12.75"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9"/>
    </row>
    <row r="327" spans="15:45" ht="12.75"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9"/>
    </row>
    <row r="328" spans="15:45" ht="12.75"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9"/>
    </row>
    <row r="329" spans="15:45" ht="12.75"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9"/>
    </row>
    <row r="330" spans="15:45" ht="12.75"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9"/>
    </row>
    <row r="331" spans="15:45" ht="12.75"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9"/>
    </row>
    <row r="332" spans="15:45" ht="12.75"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9"/>
    </row>
    <row r="333" spans="15:45" ht="12.75"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9"/>
    </row>
    <row r="334" spans="15:45" ht="12.75"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9"/>
    </row>
    <row r="335" spans="15:45" ht="12.75"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9"/>
    </row>
    <row r="336" spans="15:45" ht="12.75"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9"/>
    </row>
    <row r="337" spans="15:45" ht="12.75"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9"/>
    </row>
    <row r="338" spans="15:45" ht="12.75"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9"/>
    </row>
    <row r="339" spans="15:45" ht="12.75"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9"/>
    </row>
    <row r="340" spans="15:45" ht="12.75"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9"/>
    </row>
    <row r="341" spans="15:45" ht="12.75"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9"/>
    </row>
    <row r="342" spans="15:45" ht="12.75"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9"/>
    </row>
    <row r="343" spans="15:45" ht="12.75"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9"/>
    </row>
    <row r="344" spans="15:45" ht="12.75"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9"/>
    </row>
    <row r="345" spans="15:45" ht="12.75"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9"/>
    </row>
    <row r="346" spans="15:45" ht="12.75"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9"/>
    </row>
    <row r="347" spans="15:45" ht="12.75"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9"/>
    </row>
    <row r="348" spans="15:45" ht="12.75"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9"/>
    </row>
    <row r="349" spans="15:45" ht="12.75"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9"/>
    </row>
    <row r="350" spans="15:45" ht="12.75"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9"/>
    </row>
    <row r="351" spans="15:45" ht="12.75"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9"/>
    </row>
    <row r="352" spans="15:45" ht="12.75"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9"/>
    </row>
    <row r="353" spans="15:45" ht="12.75"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9"/>
    </row>
    <row r="354" spans="15:45" ht="12.75"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9"/>
    </row>
    <row r="355" spans="15:45" ht="12.75"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9"/>
    </row>
    <row r="356" spans="15:45" ht="12.75"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9"/>
    </row>
    <row r="357" spans="15:45" ht="12.75"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9"/>
    </row>
    <row r="358" spans="15:45" ht="12.75"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9"/>
    </row>
    <row r="359" spans="15:45" ht="12.75"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9"/>
    </row>
    <row r="360" spans="15:45" ht="12.75"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9"/>
    </row>
    <row r="361" spans="15:45" ht="12.75"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9"/>
    </row>
    <row r="362" spans="15:45" ht="12.75"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9"/>
    </row>
    <row r="363" spans="15:45" ht="12.75"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9"/>
    </row>
    <row r="364" spans="15:45" ht="12.75"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9"/>
    </row>
    <row r="365" spans="15:45" ht="12.75"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9"/>
    </row>
    <row r="366" spans="15:45" ht="12.75"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9"/>
    </row>
    <row r="367" spans="15:45" ht="12.75"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9"/>
    </row>
    <row r="368" spans="15:45" ht="12.75"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9"/>
    </row>
    <row r="369" spans="15:45" ht="12.75"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9"/>
    </row>
    <row r="370" spans="15:45" ht="12.75"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9"/>
    </row>
    <row r="371" spans="15:45" ht="12.75"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9"/>
    </row>
    <row r="372" spans="15:45" ht="12.75"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9"/>
    </row>
    <row r="373" spans="15:45" ht="12.75"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9"/>
    </row>
    <row r="374" spans="15:45" ht="12.75"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9"/>
    </row>
    <row r="375" spans="15:45" ht="12.75"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9"/>
    </row>
    <row r="376" spans="15:45" ht="12.75"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9"/>
    </row>
    <row r="377" spans="15:45" ht="12.75"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9"/>
    </row>
    <row r="378" spans="15:45" ht="12.75"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9"/>
    </row>
    <row r="379" spans="15:45" ht="12.75"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9"/>
    </row>
    <row r="380" spans="15:45" ht="12.75"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9"/>
    </row>
    <row r="381" spans="15:45" ht="12.75"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9"/>
    </row>
    <row r="382" spans="15:45" ht="12.75"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9"/>
    </row>
    <row r="383" spans="15:45" ht="12.75"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9"/>
    </row>
    <row r="384" spans="15:45" ht="12.75"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9"/>
    </row>
    <row r="385" spans="15:45" ht="12.75"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9"/>
    </row>
    <row r="386" spans="15:45" ht="12.75"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9"/>
    </row>
    <row r="387" spans="15:45" ht="12.75"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9"/>
    </row>
    <row r="388" spans="15:45" ht="12.75"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9"/>
    </row>
    <row r="389" spans="15:45" ht="12.75"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9"/>
    </row>
    <row r="390" spans="15:45" ht="12.75"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9"/>
    </row>
    <row r="391" spans="15:45" ht="12.75"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9"/>
    </row>
    <row r="392" spans="15:45" ht="12.75"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9"/>
    </row>
    <row r="393" spans="15:45" ht="12.75"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9"/>
    </row>
    <row r="394" spans="15:45" ht="12.75"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9"/>
    </row>
    <row r="395" spans="15:45" ht="12.75"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9"/>
    </row>
    <row r="396" spans="15:45" ht="12.75"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9"/>
    </row>
    <row r="397" spans="15:45" ht="12.75"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9"/>
    </row>
    <row r="398" spans="15:45" ht="12.75"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9"/>
    </row>
    <row r="399" spans="15:45" ht="12.75"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9"/>
    </row>
    <row r="400" spans="15:45" ht="12.75"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9"/>
    </row>
    <row r="401" spans="15:45" ht="12.75"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9"/>
    </row>
    <row r="402" spans="15:45" ht="12.75"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9"/>
    </row>
    <row r="403" spans="15:45" ht="12.75"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9"/>
    </row>
    <row r="404" spans="15:45" ht="12.75"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9"/>
    </row>
    <row r="405" spans="15:45" ht="12.75"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9"/>
    </row>
    <row r="406" spans="15:45" ht="12.75"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9"/>
    </row>
    <row r="407" spans="15:45" ht="12.75"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9"/>
    </row>
    <row r="408" spans="15:45" ht="12.75"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9"/>
    </row>
    <row r="409" spans="15:45" ht="12.75"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9"/>
    </row>
    <row r="410" spans="15:45" ht="12.75"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9"/>
    </row>
    <row r="411" spans="15:45" ht="12.75"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9"/>
    </row>
    <row r="412" spans="15:45" ht="12.75"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9"/>
    </row>
    <row r="413" spans="15:45" ht="12.75"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9"/>
    </row>
    <row r="414" spans="15:45" ht="12.75"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9"/>
    </row>
    <row r="415" spans="15:45" ht="12.75"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9"/>
    </row>
    <row r="416" spans="15:45" ht="12.75"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9"/>
    </row>
    <row r="417" spans="15:45" ht="12.75"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9"/>
    </row>
    <row r="418" spans="15:45" ht="12.75"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9"/>
    </row>
    <row r="419" spans="15:45" ht="12.75"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9"/>
    </row>
    <row r="420" spans="15:45" ht="12.75"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9"/>
    </row>
    <row r="421" spans="15:45" ht="12.75"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9"/>
    </row>
    <row r="422" spans="15:45" ht="12.75"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9"/>
    </row>
    <row r="423" spans="15:45" ht="12.75"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9"/>
    </row>
    <row r="424" spans="15:45" ht="12.75"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9"/>
    </row>
    <row r="425" spans="15:45" ht="12.75"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9"/>
    </row>
    <row r="426" spans="15:45" ht="12.75"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9"/>
    </row>
    <row r="427" spans="15:45" ht="12.75"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9"/>
    </row>
    <row r="428" spans="15:45" ht="12.75"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9"/>
    </row>
    <row r="429" spans="15:45" ht="12.75"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9"/>
    </row>
    <row r="430" spans="15:45" ht="12.75"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9"/>
    </row>
    <row r="431" spans="15:45" ht="12.75"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9"/>
    </row>
    <row r="432" spans="15:45" ht="12.75"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9"/>
    </row>
    <row r="433" spans="15:45" ht="12.75"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9"/>
    </row>
    <row r="434" spans="15:45" ht="12.75"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9"/>
    </row>
    <row r="435" spans="15:45" ht="12.75"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9"/>
    </row>
    <row r="436" spans="15:45" ht="12.75"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9"/>
    </row>
    <row r="437" spans="15:45" ht="12.75"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9"/>
    </row>
    <row r="438" spans="15:45" ht="12.75"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9"/>
    </row>
    <row r="439" spans="15:45" ht="12.75"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9"/>
    </row>
    <row r="440" spans="15:45" ht="12.75"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9"/>
    </row>
    <row r="441" spans="15:45" ht="12.75"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9"/>
    </row>
    <row r="442" spans="15:45" ht="12.75"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9"/>
    </row>
    <row r="443" spans="15:45" ht="12.75"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9"/>
    </row>
    <row r="444" spans="15:45" ht="12.75"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9"/>
    </row>
    <row r="445" spans="15:45" ht="12.75"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9"/>
    </row>
    <row r="446" spans="15:45" ht="12.75"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9"/>
    </row>
    <row r="447" spans="15:45" ht="12.75"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9"/>
    </row>
    <row r="448" spans="15:45" ht="12.75"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9"/>
    </row>
    <row r="449" spans="15:45" ht="12.75"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9"/>
    </row>
    <row r="450" spans="15:45" ht="12.75"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9"/>
    </row>
    <row r="451" spans="15:45" ht="12.75"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9"/>
    </row>
    <row r="452" spans="15:45" ht="12.75"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9"/>
    </row>
    <row r="453" spans="15:45" ht="12.75"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9"/>
    </row>
    <row r="454" spans="15:45" ht="12.75"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9"/>
    </row>
    <row r="455" spans="15:45" ht="12.75"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9"/>
    </row>
    <row r="456" spans="15:45" ht="12.75"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9"/>
    </row>
    <row r="457" spans="15:45" ht="12.75"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9"/>
    </row>
    <row r="458" spans="15:45" ht="12.75"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9"/>
    </row>
    <row r="459" spans="15:45" ht="12.75"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9"/>
    </row>
    <row r="460" spans="15:45" ht="12.75"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9"/>
    </row>
    <row r="461" spans="15:45" ht="12.75"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9"/>
    </row>
    <row r="462" spans="15:45" ht="12.75"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9"/>
    </row>
    <row r="463" spans="15:45" ht="12.75"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9"/>
    </row>
    <row r="464" spans="15:45" ht="12.75"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9"/>
    </row>
    <row r="465" spans="15:45" ht="12.75"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9"/>
    </row>
    <row r="466" spans="15:45" ht="12.75"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9"/>
    </row>
    <row r="467" spans="15:45" ht="12.75"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9"/>
    </row>
    <row r="468" spans="15:45" ht="12.75"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9"/>
    </row>
    <row r="469" spans="15:45" ht="12.75"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9"/>
    </row>
    <row r="470" spans="15:45" ht="12.75"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9"/>
    </row>
    <row r="471" spans="15:45" ht="12.75"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9"/>
    </row>
    <row r="472" spans="15:45" ht="12.75"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9"/>
    </row>
    <row r="473" spans="15:45" ht="12.75"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9"/>
    </row>
    <row r="474" spans="15:45" ht="12.75"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9"/>
    </row>
    <row r="475" spans="15:45" ht="12.75"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9"/>
    </row>
    <row r="476" spans="15:45" ht="12.75"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9"/>
    </row>
    <row r="477" spans="15:45" ht="12.75"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9"/>
    </row>
    <row r="478" spans="15:45" ht="12.75"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9"/>
    </row>
    <row r="479" spans="15:45" ht="12.75"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9"/>
    </row>
    <row r="480" spans="15:45" ht="12.75"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9"/>
    </row>
    <row r="481" spans="15:45" ht="12.75"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9"/>
    </row>
    <row r="482" spans="15:45" ht="12.75"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9"/>
    </row>
    <row r="483" spans="15:45" ht="12.75"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9"/>
    </row>
    <row r="484" spans="15:45" ht="12.75"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9"/>
    </row>
    <row r="485" spans="15:45" ht="12.75"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9"/>
    </row>
    <row r="486" spans="15:45" ht="12.75"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9"/>
    </row>
    <row r="487" spans="15:45" ht="12.75"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9"/>
    </row>
    <row r="488" spans="15:45" ht="12.75"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9"/>
    </row>
    <row r="489" spans="15:45" ht="12.75"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9"/>
    </row>
    <row r="490" spans="15:45" ht="12.75"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9"/>
    </row>
    <row r="491" spans="15:45" ht="12.75"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9"/>
    </row>
    <row r="492" spans="15:45" ht="12.75"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9"/>
    </row>
    <row r="493" spans="15:45" ht="12.75"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9"/>
    </row>
    <row r="494" spans="15:45" ht="12.75"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9"/>
    </row>
    <row r="495" spans="15:45" ht="12.75"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9"/>
    </row>
    <row r="496" spans="15:45" ht="12.75"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9"/>
    </row>
    <row r="497" spans="15:45" ht="12.75"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9"/>
    </row>
    <row r="498" spans="15:45" ht="12.75"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9"/>
    </row>
    <row r="499" spans="15:45" ht="12.75"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9"/>
    </row>
    <row r="500" spans="15:45" ht="12.75"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9"/>
    </row>
    <row r="501" spans="15:45" ht="12.75"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9"/>
    </row>
    <row r="502" spans="15:45" ht="12.75"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9"/>
    </row>
    <row r="503" spans="15:45" ht="12.75"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9"/>
    </row>
    <row r="504" spans="15:45" ht="12.75"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9"/>
    </row>
    <row r="505" spans="15:45" ht="12.75"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9"/>
    </row>
    <row r="506" spans="15:45" ht="12.75"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9"/>
    </row>
    <row r="507" spans="15:45" ht="12.75"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9"/>
    </row>
    <row r="508" spans="15:45" ht="12.75"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9"/>
    </row>
    <row r="509" spans="15:45" ht="12.75"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9"/>
    </row>
    <row r="510" spans="15:45" ht="12.75"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9"/>
    </row>
    <row r="511" spans="15:45" ht="12.75"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9"/>
    </row>
    <row r="512" spans="15:45" ht="12.75"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9"/>
    </row>
    <row r="513" spans="15:45" ht="12.75"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9"/>
    </row>
    <row r="514" spans="15:45" ht="12.75"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9"/>
    </row>
    <row r="515" spans="15:45" ht="12.75"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9"/>
    </row>
    <row r="516" spans="15:45" ht="12.75"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9"/>
    </row>
    <row r="517" spans="15:45" ht="12.75"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9"/>
    </row>
    <row r="518" spans="15:45" ht="12.75"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9"/>
    </row>
    <row r="519" spans="15:45" ht="12.75"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9"/>
    </row>
    <row r="520" spans="15:45" ht="12.75"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9"/>
    </row>
    <row r="521" spans="15:45" ht="12.75"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9"/>
    </row>
    <row r="522" spans="15:45" ht="12.75"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9"/>
    </row>
    <row r="523" spans="15:45" ht="12.75"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9"/>
    </row>
    <row r="524" spans="15:45" ht="12.75"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9"/>
    </row>
    <row r="525" spans="15:45" ht="12.75"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9"/>
    </row>
    <row r="526" spans="15:45" ht="12.75"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9"/>
    </row>
    <row r="527" spans="15:45" ht="12.75"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9"/>
    </row>
    <row r="528" spans="15:45" ht="12.75"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9"/>
    </row>
    <row r="529" spans="15:45" ht="12.75"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9"/>
    </row>
    <row r="530" spans="15:45" ht="12.75"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9"/>
    </row>
    <row r="531" spans="15:45" ht="12.75"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9"/>
    </row>
    <row r="532" spans="15:45" ht="12.75"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9"/>
    </row>
    <row r="533" spans="15:45" ht="12.75"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9"/>
    </row>
    <row r="534" spans="15:45" ht="12.75"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9"/>
    </row>
    <row r="535" spans="15:45" ht="12.75"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9"/>
    </row>
    <row r="536" spans="15:45" ht="12.75"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9"/>
    </row>
    <row r="537" spans="15:45" ht="12.75"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9"/>
    </row>
    <row r="538" spans="15:45" ht="12.75"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9"/>
    </row>
    <row r="539" spans="15:45" ht="12.75"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9"/>
    </row>
    <row r="540" spans="15:45" ht="12.75"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9"/>
    </row>
    <row r="541" spans="15:45" ht="12.75"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9"/>
    </row>
    <row r="542" spans="15:45" ht="12.75"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9"/>
    </row>
    <row r="543" spans="15:45" ht="12.75"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9"/>
    </row>
    <row r="544" spans="15:45" ht="12.75"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9"/>
    </row>
    <row r="545" spans="15:45" ht="12.75"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9"/>
    </row>
    <row r="546" spans="15:45" ht="12.75"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9"/>
    </row>
    <row r="547" spans="15:45" ht="12.75"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9"/>
    </row>
    <row r="548" spans="15:45" ht="12.75"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9"/>
    </row>
    <row r="549" spans="15:45" ht="12.75"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9"/>
    </row>
    <row r="550" spans="15:45" ht="12.75"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9"/>
    </row>
    <row r="551" spans="15:45" ht="12.75"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9"/>
    </row>
    <row r="552" spans="15:45" ht="12.75"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9"/>
    </row>
    <row r="553" spans="15:45" ht="12.75"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9"/>
    </row>
    <row r="554" spans="15:45" ht="12.75"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9"/>
    </row>
    <row r="555" spans="15:45" ht="12.75"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9"/>
    </row>
    <row r="556" spans="15:45" ht="12.75"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9"/>
    </row>
    <row r="557" spans="15:45" ht="12.75"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9"/>
    </row>
    <row r="558" spans="15:45" ht="12.75"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9"/>
    </row>
    <row r="559" spans="15:45" ht="12.75"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9"/>
    </row>
    <row r="560" spans="15:45" ht="12.75"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9"/>
    </row>
    <row r="561" spans="15:45" ht="12.75"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9"/>
    </row>
    <row r="562" spans="15:45" ht="12.75"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9"/>
    </row>
    <row r="563" spans="15:45" ht="12.75"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9"/>
    </row>
    <row r="564" spans="15:45" ht="12.75"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9"/>
    </row>
    <row r="565" spans="15:45" ht="12.75"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9"/>
    </row>
    <row r="566" spans="15:45" ht="12.75"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9"/>
    </row>
    <row r="567" spans="15:45" ht="12.75"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9"/>
    </row>
    <row r="568" spans="15:45" ht="12.75"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9"/>
    </row>
    <row r="569" spans="15:45" ht="12.75"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9"/>
    </row>
    <row r="570" spans="15:45" ht="12.75"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9"/>
    </row>
    <row r="571" spans="15:45" ht="12.75"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9"/>
    </row>
    <row r="572" spans="15:45" ht="12.75"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9"/>
    </row>
    <row r="573" spans="15:45" ht="12.75"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9"/>
    </row>
    <row r="574" spans="15:45" ht="12.75"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9"/>
    </row>
    <row r="575" spans="15:45" ht="12.75"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9"/>
    </row>
    <row r="576" spans="15:45" ht="12.75"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9"/>
    </row>
    <row r="577" spans="15:45" ht="12.75"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9"/>
    </row>
    <row r="578" spans="15:45" ht="12.75"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9"/>
    </row>
    <row r="579" spans="15:45" ht="12.75"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9"/>
    </row>
    <row r="580" spans="15:45" ht="12.75"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9"/>
    </row>
    <row r="581" spans="15:45" ht="12.75"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9"/>
    </row>
    <row r="582" spans="15:45" ht="12.75"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9"/>
    </row>
    <row r="583" spans="15:45" ht="12.75"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9"/>
    </row>
    <row r="584" spans="15:45" ht="12.75"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9"/>
    </row>
    <row r="585" spans="15:45" ht="12.75"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9"/>
    </row>
    <row r="586" spans="15:45" ht="12.75"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9"/>
    </row>
    <row r="587" spans="15:45" ht="12.75"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9"/>
    </row>
    <row r="588" spans="15:45" ht="12.75"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9"/>
    </row>
    <row r="589" spans="15:45" ht="12.75"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9"/>
    </row>
    <row r="590" spans="15:45" ht="12.75"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9"/>
    </row>
    <row r="591" spans="15:45" ht="12.75">
      <c r="O591" s="8"/>
      <c r="P591" s="8"/>
      <c r="Q591" s="8"/>
      <c r="AS591" s="9"/>
    </row>
    <row r="592" spans="15:17" ht="12.75">
      <c r="O592" s="8"/>
      <c r="P592" s="8"/>
      <c r="Q592" s="8"/>
    </row>
    <row r="593" spans="15:17" ht="12.75">
      <c r="O593" s="8"/>
      <c r="P593" s="8"/>
      <c r="Q593" s="8"/>
    </row>
    <row r="594" spans="15:17" ht="12.75">
      <c r="O594" s="8"/>
      <c r="P594" s="8"/>
      <c r="Q594" s="8"/>
    </row>
  </sheetData>
  <sheetProtection/>
  <mergeCells count="74">
    <mergeCell ref="K6:O6"/>
    <mergeCell ref="K2:N2"/>
    <mergeCell ref="K3:O3"/>
    <mergeCell ref="K4:O4"/>
    <mergeCell ref="K5:O5"/>
    <mergeCell ref="J22:K22"/>
    <mergeCell ref="A8:N8"/>
    <mergeCell ref="A22:A24"/>
    <mergeCell ref="B22:B24"/>
    <mergeCell ref="A9:N9"/>
    <mergeCell ref="A12:N12"/>
    <mergeCell ref="A14:N14"/>
    <mergeCell ref="K17:L17"/>
    <mergeCell ref="K19:L19"/>
    <mergeCell ref="K18:L1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26:AR26"/>
    <mergeCell ref="A32:F32"/>
    <mergeCell ref="A33:F33"/>
    <mergeCell ref="A34:F34"/>
    <mergeCell ref="A35:AR35"/>
    <mergeCell ref="A45:F45"/>
    <mergeCell ref="A46:F46"/>
    <mergeCell ref="A47:F47"/>
    <mergeCell ref="A48:AR48"/>
    <mergeCell ref="A49:AR49"/>
    <mergeCell ref="A64:F64"/>
    <mergeCell ref="A65:F65"/>
    <mergeCell ref="A66:F66"/>
    <mergeCell ref="A67:AR67"/>
    <mergeCell ref="A68:AR68"/>
    <mergeCell ref="A88:F88"/>
    <mergeCell ref="A89:F89"/>
    <mergeCell ref="A90:F90"/>
    <mergeCell ref="A91:AR91"/>
    <mergeCell ref="A106:F106"/>
    <mergeCell ref="A107:F107"/>
    <mergeCell ref="A108:F108"/>
    <mergeCell ref="A109:AR109"/>
    <mergeCell ref="A110:AR110"/>
    <mergeCell ref="A120:F120"/>
    <mergeCell ref="A119:F119"/>
    <mergeCell ref="A121:F121"/>
    <mergeCell ref="A122:AR122"/>
    <mergeCell ref="A126:AR126"/>
    <mergeCell ref="A129:F129"/>
    <mergeCell ref="A130:F130"/>
    <mergeCell ref="A131:F131"/>
    <mergeCell ref="A132:AR132"/>
    <mergeCell ref="A133:AR133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1:F161"/>
    <mergeCell ref="A165:F165"/>
    <mergeCell ref="A163:F163"/>
    <mergeCell ref="A160:F160"/>
    <mergeCell ref="A164:F164"/>
    <mergeCell ref="A162:F162"/>
  </mergeCells>
  <printOptions/>
  <pageMargins left="0.63" right="0.3937007874015748" top="0.3937007874015748" bottom="0.3937007874015748" header="0.23622047244094488" footer="0.23622047244094488"/>
  <pageSetup fitToHeight="30000" fitToWidth="1" horizontalDpi="600" verticalDpi="600" orientation="landscape" paperSize="9" scale="73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>12.03.2008</cp:keywords>
  <dc:description/>
  <cp:lastModifiedBy>podkopaeva</cp:lastModifiedBy>
  <cp:lastPrinted>2013-03-13T09:12:01Z</cp:lastPrinted>
  <dcterms:created xsi:type="dcterms:W3CDTF">2003-01-28T12:33:10Z</dcterms:created>
  <dcterms:modified xsi:type="dcterms:W3CDTF">2019-07-24T09:36:11Z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