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Alex Sosedko</author>
    <author>Сергей</author>
    <author>Соседко А.Н.</author>
    <author>onikitina</author>
    <author>nsavkin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---------------------
&lt;Обоснование коэффициентов&gt;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
&lt;Строка задания НР для БИМ&gt;: (&lt;Сумма НР по позиции для БИМ&gt;)
&lt;Строка задания СП для БИМ&gt;: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23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25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5" authorId="5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5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5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5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5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5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5" authorId="5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5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5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5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5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5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5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Q25" authorId="8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O25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O25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5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5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5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N25" authorId="5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5" authorId="5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5" authorId="5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5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5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5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5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5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5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5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<sst xmlns="http://schemas.openxmlformats.org/spreadsheetml/2006/main" count="1454" uniqueCount="346">
  <si>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</si>
  <si>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</si>
  <si>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</si>
  <si>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</si>
  <si>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</si>
  <si>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</si>
  <si>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</si>
  <si>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</si>
  <si>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</si>
  <si>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</si>
  <si>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</si>
  <si>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</si>
  <si>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</si>
  <si>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</si>
  <si>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</si>
  <si>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</si>
  <si>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</si>
  <si>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</si>
  <si>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</si>
  <si>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</si>
  <si>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</si>
  <si>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</si>
  <si>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</si>
  <si>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</si>
  <si>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</si>
  <si>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</si>
  <si>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</si>
  <si>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</si>
  <si>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</si>
  <si>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</si>
  <si>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</si>
  <si>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</si>
  <si>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 xml:space="preserve">   Раздел 1. Подготовительные работы (минимальный перечень)</t>
  </si>
  <si>
    <t>ФЕРр68-12-7      
Снятие деформированных асфальтобетонных покрытий самоходными холодными фрезами с шириной фрезерования 500-1000 мм и толщиной слоя до 50 мм
1000 м2
---------------------
НР 88%=104%*0.85 от ФОТ: (2335)
СП 48%=60%*0.8 от ФОТ: (1273</t>
  </si>
  <si>
    <t>3754,78
----------
250,76</t>
  </si>
  <si>
    <t>1591
----------
106</t>
  </si>
  <si>
    <t>4,854
----------
20,234</t>
  </si>
  <si>
    <t>7721
----------
2150</t>
  </si>
  <si>
    <t>Р</t>
  </si>
  <si>
    <t>НР 88%=104%*0.85 от ФОТ</t>
  </si>
  <si>
    <t>СП 48%=60%*0.8 от ФОТ</t>
  </si>
  <si>
    <t>ФОТ</t>
  </si>
  <si>
    <t>ФЕРр68-12-4      
Разборка покрытий и оснований асфальтобетонных с помощью молотков отбойных
100 м3
---------------------
НР 88%=104%*0.85 от ФОТ: (903)
СП 48%=60%*0.8 от ФОТ: (492</t>
  </si>
  <si>
    <t>3986,2
----------
423,75</t>
  </si>
  <si>
    <t>80
----------
8</t>
  </si>
  <si>
    <t>5,085
----------
20,211</t>
  </si>
  <si>
    <t>405
----------
171</t>
  </si>
  <si>
    <t>ФЕРр68-14-1      
Разборка бортовых камней на бетонном основании
100 м
---------------------
НР 88%=104%*0.85 от ФОТ: (29901)
СП 48%=60%*0.8 от ФОТ: (16309</t>
  </si>
  <si>
    <t>889,15
----------
94,56</t>
  </si>
  <si>
    <t>2102
----------
224</t>
  </si>
  <si>
    <t>4,785
----------
20,211</t>
  </si>
  <si>
    <t>10058
----------
4518</t>
  </si>
  <si>
    <t>ФССЦпг01-01-01-043      
Погрузка при автомобильных перевозках мусора строительного с погрузкой экскаваторами емкостью ковша до 0,5 м3
1 т груза
---------------------
НР 0%=0%*0.85 от ФОТ)
СП 0%=0%*0.8 от ФОТ</t>
  </si>
  <si>
    <t>НР 0%=0%*0.85 от ФОТ</t>
  </si>
  <si>
    <t>СП 0%=0%*0.8 от ФОТ</t>
  </si>
  <si>
    <t>ФССЦпг03-21-01-011      
Перевозка грузов I класса автомобилями-самосвалами грузоподъемностью 10 т работающих вне карьера на расстояние до 11 км
1 т груза
---------------------
НР 0%=0%*0.85 от ФОТ)
СП 0%=0%*0.8 от ФОТ</t>
  </si>
  <si>
    <t xml:space="preserve"> </t>
  </si>
  <si>
    <t xml:space="preserve">    В том числе (справочно):</t>
  </si>
  <si>
    <t xml:space="preserve">       оплата труда рабочих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</si>
  <si>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</si>
  <si>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</si>
  <si>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</si>
  <si>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</si>
  <si>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 xml:space="preserve">    Итого</t>
  </si>
  <si>
    <t xml:space="preserve">    Итого по разделу 1 Подготовительные работы (минимальный перечень)</t>
  </si>
  <si>
    <t xml:space="preserve">   Раздел 2. Площадки и проезды  (минимальный перечень)</t>
  </si>
  <si>
    <t xml:space="preserve">   Покрытие проезда(сущ) А1 (S=423,65м2, Lб.к.=194,62п.м.)#</t>
  </si>
  <si>
    <t>ФЕР01-02-057-01      
Разработка грунта вручную в траншеях глубиной до 2 м без креплений с откосами, группа грунтов 1 (под гравийно-песчаную подсыпку)
100 м3 грунта
---------------------
НР 68%=80%*0,85 от ФОТ: (925)
СП 31%=45%*(0.85*0.8) от ФОТ: (422</t>
  </si>
  <si>
    <t>НР 68%=80%*0,85 от ФОТ</t>
  </si>
  <si>
    <t>СП 31%=45%*(0.85*0.8) от ФОТ</t>
  </si>
  <si>
    <t>ФЕР01-02-061-01      
Засыпка вручную траншей, пазух котлованов и ям, группа грунтов 1
100 м3
---------------------
НР 68%=80%*0,85 от ФОТ: (92)
СП 31%=45%*(0.85*0.8) от ФОТ: (42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</si>
  <si>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---------------------
(Коэффициент к норме расхода строительных машин и механизмов ЭМ-ЗПМ=0,65; ЗПМ=0,65)
---------------------
НР 121%=142%*0.85 от ФОТ: (434)
СП 65%=95%*(0.85*0.8) от ФОТ: (233</t>
  </si>
  <si>
    <t>126,07
----------
17,08</t>
  </si>
  <si>
    <t>1455,15
----------
122,17</t>
  </si>
  <si>
    <t>9
----------
1</t>
  </si>
  <si>
    <t>102
----------
9</t>
  </si>
  <si>
    <t>21,13
----------
8,111</t>
  </si>
  <si>
    <t>6,695
----------
20,238</t>
  </si>
  <si>
    <t>186
----------
10</t>
  </si>
  <si>
    <t>682
----------
173</t>
  </si>
  <si>
    <t>НР 121%=142%*0.85 от ФОТ</t>
  </si>
  <si>
    <t>СП 65%=95%*(0.85*0.8) от ФОТ</t>
  </si>
  <si>
    <t>ФССЦ-02.2.04.03-0003      
Смесь песчано-гравийная природная
м3</t>
  </si>
  <si>
    <t xml:space="preserve">
----------
60</t>
  </si>
  <si>
    <t xml:space="preserve">
----------
512</t>
  </si>
  <si>
    <t xml:space="preserve">
----------
11,818</t>
  </si>
  <si>
    <t xml:space="preserve">
----------
6056</t>
  </si>
  <si>
    <t>М</t>
  </si>
  <si>
    <t>ФЕР27-02-010-02      
Установка бортовых камней бетонных при других видах покрытий
100 м
---------------------
НР 121%=142%*0.85 от ФОТ: (32487)
СП 65%=95%*(0.85*0.8) от ФОТ: (17452</t>
  </si>
  <si>
    <t>643,64
----------
3690,05</t>
  </si>
  <si>
    <t>78,78
----------
9,64</t>
  </si>
  <si>
    <t>1253
----------
7182</t>
  </si>
  <si>
    <t>153
----------
19</t>
  </si>
  <si>
    <t>21,13
----------
5,184</t>
  </si>
  <si>
    <t>7,408
----------
20,232</t>
  </si>
  <si>
    <t>26469
----------
37229</t>
  </si>
  <si>
    <t>1136
----------
380</t>
  </si>
  <si>
    <t>ФССЦ-04.1.02.05-0006      
Бетон тяжелый, класс В15 (М200)
м3</t>
  </si>
  <si>
    <t xml:space="preserve">
----------
592,76</t>
  </si>
  <si>
    <t xml:space="preserve">
----------
-6806</t>
  </si>
  <si>
    <t xml:space="preserve">
----------
5,308</t>
  </si>
  <si>
    <t xml:space="preserve">
----------
-36128</t>
  </si>
  <si>
    <t>ФССЦ-04.1.02.05-0003      
Бетон тяжелый, класс В7,5 (М100)
м3</t>
  </si>
  <si>
    <t xml:space="preserve">
----------
560</t>
  </si>
  <si>
    <t xml:space="preserve">
----------
6104</t>
  </si>
  <si>
    <t xml:space="preserve">
----------
4,904</t>
  </si>
  <si>
    <t xml:space="preserve">
----------
29934</t>
  </si>
  <si>
    <t>С прайс-лист ИП Секрета "Монолит"      
Бортовой камень БР78.30.16
шт.</t>
  </si>
  <si>
    <t xml:space="preserve">
----------
33,26</t>
  </si>
  <si>
    <t xml:space="preserve">
----------
8315</t>
  </si>
  <si>
    <t xml:space="preserve">
----------
7,46</t>
  </si>
  <si>
    <t xml:space="preserve">
----------
62030</t>
  </si>
  <si>
    <t>ФЕР27-06-026-01      
Розлив вяжущих материалов
т
---------------------
НР 121%=142%*0.85 от ФОТ: (22)
СП 65%=95%*(0.85*0.8) от ФОТ: (12</t>
  </si>
  <si>
    <t>39,1
----------
7,15</t>
  </si>
  <si>
    <t>5
----------
1</t>
  </si>
  <si>
    <t>8,151
----------
20,197</t>
  </si>
  <si>
    <t>41
----------
18</t>
  </si>
  <si>
    <t>ФССЦ-01.2.01.01-0001      
Битумы нефтяные дорожные жидкие, класс МГ, СГ
т</t>
  </si>
  <si>
    <t xml:space="preserve">
----------
1487,6</t>
  </si>
  <si>
    <t xml:space="preserve">
----------
195</t>
  </si>
  <si>
    <t xml:space="preserve">
----------
11,549</t>
  </si>
  <si>
    <t xml:space="preserve">
----------
2251</t>
  </si>
  <si>
    <t>ФЕР27-04-001-01      
Устройство подстилающих и выравнивающих слоев оснований из песка. Укатка катками каменных материалов с пределом прочности на сжатие до 68,6(700) мПа (кгс/см2), применен коэффициент к нормам эксплуатации машин, в том числе затратам труда машинистов, - 0,65 (ремонт дороги)
100 м3
---------------------
(Коэффициент к норме расхода строительных машин и механизмов ЭМ-ЗПМ=0,65; ЗПМ=0,65)
---------------------
НР 121%=142%*0.85 от ФОТ: (28)
СП 65%=95%*(0.85*0.8) от ФОТ: (15</t>
  </si>
  <si>
    <t>126,07
----------
12,2</t>
  </si>
  <si>
    <t>1393,42
----------
115,43</t>
  </si>
  <si>
    <t>6
----------
1</t>
  </si>
  <si>
    <t>6,649
----------
20,239</t>
  </si>
  <si>
    <t>42
----------
11</t>
  </si>
  <si>
    <t>ФССЦ-02.3.01.02-0015      
Песок природный для строительных работ средний
м3</t>
  </si>
  <si>
    <t xml:space="preserve">
----------
55,26</t>
  </si>
  <si>
    <t xml:space="preserve">
----------
27</t>
  </si>
  <si>
    <t xml:space="preserve">
----------
9,721</t>
  </si>
  <si>
    <t xml:space="preserve">
----------
266</t>
  </si>
  <si>
    <t>ФЕР27-04-001-04      
Устройство подстилающих и выравнивающих слоев оснований из щебня.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 (ремонт дороги)
100 м3
---------------------
(Коэффициент к норме расхода строительных машин и механизмов ЭМ-ЗПМ=0,65; ЗПМ=0,65)
---------------------
НР 121%=142%*0.85 от ФОТ: (85)
СП 65%=95%*(0.85*0.8) от ФОТ: (46</t>
  </si>
  <si>
    <t>195,7
----------
17,08</t>
  </si>
  <si>
    <t>2170,25
----------
181,12</t>
  </si>
  <si>
    <t>20
----------
2</t>
  </si>
  <si>
    <t>6,729
----------
20,244</t>
  </si>
  <si>
    <t>37
----------
1</t>
  </si>
  <si>
    <t>131
----------
33</t>
  </si>
  <si>
    <t>ФССЦ-02.2.05.04-0089      
Щебень из природного камня для строительных работ марка 600, фракция 40-70 мм
м3</t>
  </si>
  <si>
    <t xml:space="preserve">
----------
98,6</t>
  </si>
  <si>
    <t xml:space="preserve">
----------
112</t>
  </si>
  <si>
    <t xml:space="preserve">
----------
6,116</t>
  </si>
  <si>
    <t xml:space="preserve">
----------
684</t>
  </si>
  <si>
    <t>ФЕРр68-10-1      
Устройство выравнивающего слоя из асфальтобетонной смеси с применением укладчиков асфальтобетона
100 т
---------------------
НР 88%=104%*0.85 от ФОТ: (9507)
СП 48%=60%*0.8 от ФОТ: (5185</t>
  </si>
  <si>
    <t>292,7
----------
46463,94</t>
  </si>
  <si>
    <t>3689,91
----------
412,19</t>
  </si>
  <si>
    <t>218
----------
34546</t>
  </si>
  <si>
    <t>2743
----------
306</t>
  </si>
  <si>
    <t>21,13
----------
6,62</t>
  </si>
  <si>
    <t>6,812
----------
20,248</t>
  </si>
  <si>
    <t>4598
----------
228694</t>
  </si>
  <si>
    <t>18688
----------
6205</t>
  </si>
  <si>
    <t>ФССЦ-04.2.01.02-0011      
Смеси асфальтобетонные дорожные, аэродромные и асфальтобетон (горячие для пористого асфальтобетона щебеночные и гравийные), марка I
т</t>
  </si>
  <si>
    <t xml:space="preserve">
----------
459,91</t>
  </si>
  <si>
    <t xml:space="preserve">
----------
-34536</t>
  </si>
  <si>
    <t xml:space="preserve">
----------
6,617</t>
  </si>
  <si>
    <t xml:space="preserve">
----------
-228526</t>
  </si>
  <si>
    <t>ФССЦ-04.2.01.01-0036      
Смеси асфальтобетонные дорожные, аэродромные и асфальтобетон (горячие для плотного асфальтобетона мелко и крупнозернистые, песчаные), марка II, тип Б
т</t>
  </si>
  <si>
    <t xml:space="preserve">
----------
512,4</t>
  </si>
  <si>
    <t xml:space="preserve">
----------
38478</t>
  </si>
  <si>
    <t xml:space="preserve">
----------
6,517</t>
  </si>
  <si>
    <t xml:space="preserve">
----------
250760</t>
  </si>
  <si>
    <t xml:space="preserve">   Скамейки</t>
  </si>
  <si>
    <t>ФЕР01-02-058-02      
Копание ям вручную без креплений для стоек и столбов без откосов глубиной до 0,7 м, группа грунтов 2
100 м3
---------------------
НР 68%=80%*0,85 от ФОТ: (31)
СП 31%=45%*(0.85*0.8) от ФОТ: (14</t>
  </si>
  <si>
    <t>ФЕР06-01-001-01      
Устройство бетонной подготовки
100 м3
---------------------
НР 89%=105%*0,85 от ФОТ: (31)
СП 44%=65%*(0.85*0.8) от ФОТ: (15</t>
  </si>
  <si>
    <t>1404
----------
905,49</t>
  </si>
  <si>
    <t>1587,74
----------
244,51</t>
  </si>
  <si>
    <t>1
----------
1</t>
  </si>
  <si>
    <t>21,13
----------
7,522</t>
  </si>
  <si>
    <t>7,097
----------
20,225</t>
  </si>
  <si>
    <t>30
----------
7</t>
  </si>
  <si>
    <t>11
----------
5</t>
  </si>
  <si>
    <t>НР 89%=105%*0,85 от ФОТ</t>
  </si>
  <si>
    <t>СП 44%=65%*(0.85*0.8) от ФОТ</t>
  </si>
  <si>
    <t xml:space="preserve">
----------
571</t>
  </si>
  <si>
    <t xml:space="preserve">
----------
2801</t>
  </si>
  <si>
    <t>ФЕР06-01-015-06      
Установка стальных конструкций, остающихся в теле бетона (установка скамеек, игровых комплексов, переносимой горки)
т
---------------------
НР 89%=105%*0,85 от ФОТ: (281)
СП 44%=65%*(0.85*0.8) от ФОТ: (139</t>
  </si>
  <si>
    <t>445,69
----------
72,21</t>
  </si>
  <si>
    <t>440,24
----------
54,14</t>
  </si>
  <si>
    <t>13
----------
2</t>
  </si>
  <si>
    <t>21,13
----------
5,62</t>
  </si>
  <si>
    <t>7,198
----------
20,207</t>
  </si>
  <si>
    <t>283
----------
12</t>
  </si>
  <si>
    <t>95
----------
33</t>
  </si>
  <si>
    <t>С прайс-лист ООО"Игрокомплекс"      
Скамейка С-О5 Арт.6003
шт.</t>
  </si>
  <si>
    <t xml:space="preserve">
----------
637,3</t>
  </si>
  <si>
    <t xml:space="preserve">
----------
637</t>
  </si>
  <si>
    <t xml:space="preserve">
----------
4754</t>
  </si>
  <si>
    <t>С прайс-лист ООО"Игрокомплекс"      
Скамейка С-О6 Арт.6005
шт.</t>
  </si>
  <si>
    <t xml:space="preserve">
----------
811,11</t>
  </si>
  <si>
    <t xml:space="preserve">
----------
811</t>
  </si>
  <si>
    <t xml:space="preserve">
----------
6051</t>
  </si>
  <si>
    <t xml:space="preserve">       материалы</t>
  </si>
  <si>
    <t xml:space="preserve">    Итого по разделу 2 Площадки и проезды  (минимальный перечень)</t>
  </si>
  <si>
    <t xml:space="preserve">   Раздел 3. Парковка (дополнительный перечень)</t>
  </si>
  <si>
    <t xml:space="preserve">   Новое покрытие проезда А2 (S=126,0м2, Lб.к.=58,20п.м)#</t>
  </si>
  <si>
    <t>ФЕР01-01-030-01      
Разработка грунта с перемещением до 10 м бульдозерами мощностью 59 кВт (80 л.с.), группа грунтов 1
1000 м3
---------------------
НР 81%=95%*0,85 от ФОТ: (88)
СП 34%=50%*(0.85*0.8) от ФОТ: (37</t>
  </si>
  <si>
    <t>643,47
----------
125,51</t>
  </si>
  <si>
    <t>28
----------
5</t>
  </si>
  <si>
    <t>11,616
----------
20,199</t>
  </si>
  <si>
    <t>320
----------
109</t>
  </si>
  <si>
    <t>НР 81%=95%*0,85 от ФОТ</t>
  </si>
  <si>
    <t>СП 34%=50%*(0.85*0.8) от ФОТ</t>
  </si>
  <si>
    <t>ФЕР01-02-057-01      
Разработка грунта вручную в траншеях глубиной до 2 м без креплений с откосами, группа грунтов 1 (под бортовые камни)
100 м3
---------------------
НР 68%=80%*0,85 от ФОТ: (1378)
СП 31%=45%*(0.85*0.8) от ФОТ: (628</t>
  </si>
  <si>
    <t>ФЕР01-02-061-01      
Засыпка вручную траншей, пазух котлованов и ям, группа грунтов 1
100 м3
---------------------
НР 68%=80%*0,85 от ФОТ: (167)
СП 31%=45%*(0.85*0.8) от ФОТ: (76</t>
  </si>
  <si>
    <t>ФЕР01-01-014-04      
Разработка грунта с погрузкой на автомобили-самосвалы экскаваторами с ковшом вместимостью 0,25 м3, группа грунтов 1
1000 м3
---------------------
НР 81%=95%*0,85 от ФОТ: (863)
СП 34%=50%*(0.85*0.8) от ФОТ: (362</t>
  </si>
  <si>
    <t>191,8
----------
3,25</t>
  </si>
  <si>
    <t>4821,56
----------
822,32</t>
  </si>
  <si>
    <t>248
----------
42</t>
  </si>
  <si>
    <t>21,13
----------
9,652</t>
  </si>
  <si>
    <t>9,87
----------
20,198</t>
  </si>
  <si>
    <t>209
----------
2</t>
  </si>
  <si>
    <t>2451
----------
856</t>
  </si>
  <si>
    <t>ФССЦпг03-21-01-010      
Перевозка грузов I класса автомобилями-самосвалами грузоподъемностью 10 т работающих вне карьера на расстояние до 10 км
1 т груза
---------------------
НР 0%=0%*0.85 от ФОТ)
СП 0%=0%*0.8 от ФОТ</t>
  </si>
  <si>
    <t>ФЕР27-04-001-01      
Устройство подстилающих и выравнивающих слоев оснований из песка. Укатка катками каменных материалов с пределом прочности на сжатие до 68,6(700) мПа (кгс/см2), применен коэффициент к нормам эксплуатации машин, в том числе затратам труда машинистов, - 0,65
100 м3
---------------------
(Коэффициент к норме расхода строительных машин и механизмов ЭМ-ЗПМ=0,65; ЗПМ=0,65)
---------------------
НР 121%=142%*0.85 от ФОТ: (674)
СП 65%=95%*(0.85*0.8) от ФОТ: (362</t>
  </si>
  <si>
    <t>14
----------
1</t>
  </si>
  <si>
    <t>155
----------
13</t>
  </si>
  <si>
    <t>297
----------
11</t>
  </si>
  <si>
    <t>1033
----------
260</t>
  </si>
  <si>
    <t xml:space="preserve">
----------
677</t>
  </si>
  <si>
    <t xml:space="preserve">
----------
6586</t>
  </si>
  <si>
    <t>ФЕР27-04-007-01      
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
1000 м2
---------------------
НР 121%=142%*0.85 от ФОТ: (2426)
СП 65%=95%*(0.85*0.8) от ФОТ: (1303</t>
  </si>
  <si>
    <t>301,96
----------
20487,6</t>
  </si>
  <si>
    <t>3756,43
----------
470,99</t>
  </si>
  <si>
    <t>38
----------
2581</t>
  </si>
  <si>
    <t>473
----------
59</t>
  </si>
  <si>
    <t>21,13
----------
6,248</t>
  </si>
  <si>
    <t>7,285
----------
20,234</t>
  </si>
  <si>
    <t>804
----------
16129</t>
  </si>
  <si>
    <t>3448
----------
1201</t>
  </si>
  <si>
    <t>ФССЦ-02.2.05.04-0087      
Щебень из природного камня для строительных работ марка 600, фракция 10-20 мм
м3</t>
  </si>
  <si>
    <t xml:space="preserve">
----------
118,6</t>
  </si>
  <si>
    <t xml:space="preserve">
----------
-224</t>
  </si>
  <si>
    <t xml:space="preserve">
----------
7,558</t>
  </si>
  <si>
    <t xml:space="preserve">
----------
-1694</t>
  </si>
  <si>
    <t xml:space="preserve">
----------
186</t>
  </si>
  <si>
    <t xml:space="preserve">
----------
1140</t>
  </si>
  <si>
    <t>ФЕР27-04-007-04      
На каждый 1 см изменения толщины слоя добавлять к нормам 27-04-007-01, 27-04-007-02, 27-04-007-03
1000 м2
---------------------
(ПЗ=3 (ОЗП=3; ЭМ=3 к расх.; ЗПМ=3; МАТ=3 к расх.; ТЗ=3; ТЗМ=3))
---------------------
НР 121%=142%*0.85 от ФОТ: (278)
СП 65%=95%*(0.85*0.8) от ФОТ: (150</t>
  </si>
  <si>
    <t xml:space="preserve">
----------
3727,08</t>
  </si>
  <si>
    <t>715,23
----------
90,42</t>
  </si>
  <si>
    <t xml:space="preserve">
----------
470</t>
  </si>
  <si>
    <t>90
----------
11</t>
  </si>
  <si>
    <t>21,13
----------
6,116</t>
  </si>
  <si>
    <t>7,261
----------
20,221</t>
  </si>
  <si>
    <t xml:space="preserve">
----------
2872</t>
  </si>
  <si>
    <t>654
----------
230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</si>
  <si>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---------------------
(Коэффициент к норме расхода строительных машин и механизмов ЭМ-ЗПМ=0,65; ЗПМ=0,65)
---------------------
НР 121%=142%*0.85 от ФОТ: (357)
СП 65%=95%*(0.85*0.8) от ФОТ: (192</t>
  </si>
  <si>
    <t>7
----------
1</t>
  </si>
  <si>
    <t>84
----------
7</t>
  </si>
  <si>
    <t>153
----------
8</t>
  </si>
  <si>
    <t>561
----------
142</t>
  </si>
  <si>
    <t xml:space="preserve">
----------
422</t>
  </si>
  <si>
    <t xml:space="preserve">
----------
4985</t>
  </si>
  <si>
    <t>ФЕР27-02-010-02      
Установка бортовых камней бетонных при других видах покрытий
100 м
---------------------
НР 121%=142%*0.85 от ФОТ: (9715)
СП 65%=95%*(0.85*0.8) от ФОТ: (5219</t>
  </si>
  <si>
    <t>375
----------
2148</t>
  </si>
  <si>
    <t>46
----------
6</t>
  </si>
  <si>
    <t>7915
----------
11133</t>
  </si>
  <si>
    <t>340
----------
114</t>
  </si>
  <si>
    <t xml:space="preserve">
----------
-2035</t>
  </si>
  <si>
    <t xml:space="preserve">
----------
-10804</t>
  </si>
  <si>
    <t xml:space="preserve">
----------
1826</t>
  </si>
  <si>
    <t xml:space="preserve">
----------
8953</t>
  </si>
  <si>
    <t xml:space="preserve">
----------
2495</t>
  </si>
  <si>
    <t xml:space="preserve">
----------
18609</t>
  </si>
  <si>
    <t>ФЕР27-06-026-01      
Розлив вяжущих материалов
т
---------------------
НР 121%=142%*0.85 от ФОТ: (18)
СП 65%=95%*(0.85*0.8) от ФОТ: (10</t>
  </si>
  <si>
    <t>4
----------
1</t>
  </si>
  <si>
    <t>32
----------
15</t>
  </si>
  <si>
    <t xml:space="preserve">
----------
154</t>
  </si>
  <si>
    <t xml:space="preserve">
----------
1783</t>
  </si>
  <si>
    <t>ФЕР27-06-020-01      
Устройство покрытия толщиной 4 см из горячих асфальтобетонных смесей плотных мелкозернистых типа АБВ, плотность каменных материалов 2,5-2,9 т/м3
1000 м2
---------------------
НР 121%=142%*0.85 от ФОТ: (1999)
СП 65%=95%*(0.85*0.8) от ФОТ: (1074</t>
  </si>
  <si>
    <t>368,45
----------
230,67</t>
  </si>
  <si>
    <t>2385,37
----------
263,01</t>
  </si>
  <si>
    <t>46
----------
29</t>
  </si>
  <si>
    <t>301
----------
33</t>
  </si>
  <si>
    <t>21,13
----------
4,494</t>
  </si>
  <si>
    <t>6,752
----------
20,247</t>
  </si>
  <si>
    <t>981
----------
131</t>
  </si>
  <si>
    <t>2029
----------
671</t>
  </si>
  <si>
    <t>ФЕР27-06-021-01      
На каждые 0,5 см изменения толщины покрытия добавлять к норме 27-06-020-01
1000 м2
---------------------
(ПЗ=4 (ОЗП=4; ЭМ=4 к расх.; ЗПМ=4; МАТ=4 к расх.; ТЗ=4; ТЗМ=4))
---------------------
НР 121%=142%*0.85 от ФОТ: (11)
СП 65%=95%*(0.85*0.8) от ФОТ: (6</t>
  </si>
  <si>
    <t>ФССЦ-01.2.01.01-0019      
Битумы нефтяные дорожные марки БНД-60/90, БНД 90/130
т</t>
  </si>
  <si>
    <t xml:space="preserve">
----------
1690</t>
  </si>
  <si>
    <t xml:space="preserve">
----------
4</t>
  </si>
  <si>
    <t xml:space="preserve">
----------
9,245</t>
  </si>
  <si>
    <t xml:space="preserve">
----------
33</t>
  </si>
  <si>
    <t xml:space="preserve">
----------
9362</t>
  </si>
  <si>
    <t xml:space="preserve">
----------
61009</t>
  </si>
  <si>
    <t xml:space="preserve">    Итого по разделу 3 Парковка (дополнительный перечень)</t>
  </si>
  <si>
    <t xml:space="preserve">   Раздел 4. МАФ (дополнительный перечень)</t>
  </si>
  <si>
    <t xml:space="preserve">   Подготовительные работы</t>
  </si>
  <si>
    <t>ФЕР06-01-015-06      
Установка стальных конструкций, остающихся в теле бетона(демонтаж металлических элементов малых архитектурных форм)
т
---------------------
(Коэффициент к норме расхода строительных машин и механизмов ЭМ-ЗПМ=0,7; ЗПМ=0,7;
Коэффициент к норме расхода материалов МАТ=0;
Коэффициент к заработной плате основных рабочих ОЗП=0,7)
---------------------
НР 89%=105%*0,85 от ФОТ: (1440)
СП 44%=65%*(0.85*0.8) от ФОТ: (712</t>
  </si>
  <si>
    <t>308,17
----------
37,9</t>
  </si>
  <si>
    <t>68
----------
8</t>
  </si>
  <si>
    <t>488
----------
168</t>
  </si>
  <si>
    <t>С сборник "Цены в строительстве 2017-4"
В      
Возврат металлолома
т</t>
  </si>
  <si>
    <t xml:space="preserve">
----------
1091,82</t>
  </si>
  <si>
    <t xml:space="preserve">
----------
218</t>
  </si>
  <si>
    <t xml:space="preserve">
----------
1629</t>
  </si>
  <si>
    <t>В</t>
  </si>
  <si>
    <t>ФЕР06-01-015-06      
Установка стальных конструкций, остающихся в теле бетона(демонтаж переносимой горки)
т
---------------------
(Коэффициент к норме расхода строительных машин и механизмов ЭМ-ЗПМ=0,7; ЗПМ=0,7;
Коэффициент к норме расхода материалов МАТ=0;
Коэффициент к заработной плате основных рабочих ОЗП=0,7)
---------------------
НР 89%=105%*0,85 от ФОТ: (983)
СП 44%=65%*(0.85*0.8) от ФОТ: (486</t>
  </si>
  <si>
    <t>333
----------
115</t>
  </si>
  <si>
    <t xml:space="preserve">   #Оборудование#</t>
  </si>
  <si>
    <t>ФЕР01-02-058-02      
Копание ям вручную без креплений для стоек и столбов без откосов глубиной до 0,7 м, группа грунтов 2
100 м3
---------------------
НР 68%=80%*0,85 от ФОТ: (1372)
СП 31%=45%*(0.85*0.8) от ФОТ: (625</t>
  </si>
  <si>
    <t>ФЕР06-01-001-01      
Устройство бетонной подготовки
100 м3
---------------------
НР 89%=105%*0,85 от ФОТ: (1346)
СП 44%=65%*(0.85*0.8) от ФОТ: (665</t>
  </si>
  <si>
    <t>61
----------
40</t>
  </si>
  <si>
    <t>69
----------
11</t>
  </si>
  <si>
    <t>1296
----------
298</t>
  </si>
  <si>
    <t>492
----------
216</t>
  </si>
  <si>
    <t xml:space="preserve">
----------
2570</t>
  </si>
  <si>
    <t xml:space="preserve">
----------
13640</t>
  </si>
  <si>
    <t>ФЕР06-01-015-06      
Установка стальных конструкций, остающихся в теле бетона (установка скамеек, игровых комплексов, переносимой горки)
т
---------------------
НР 89%=105%*0,85 от ФОТ: (4257)
СП 44%=65%*(0.85*0.8) от ФОТ: (2105</t>
  </si>
  <si>
    <t>203
----------
33</t>
  </si>
  <si>
    <t>200
----------
25</t>
  </si>
  <si>
    <t>4285
----------
185</t>
  </si>
  <si>
    <t>1442
----------
498</t>
  </si>
  <si>
    <t>С прайс-лист ООО"Игрокомплекс"      
Игровой комплекс ИК-16
шт.</t>
  </si>
  <si>
    <t xml:space="preserve">
----------
4716</t>
  </si>
  <si>
    <t xml:space="preserve">
----------
35181</t>
  </si>
  <si>
    <t>С прайс-лист ООО"САН"      
Диван-качеля
шт.</t>
  </si>
  <si>
    <t xml:space="preserve">
----------
3012,68</t>
  </si>
  <si>
    <t xml:space="preserve">
----------
3013</t>
  </si>
  <si>
    <t xml:space="preserve">
----------
22475</t>
  </si>
  <si>
    <t>С прайс-лист ООО"Игрокомплекс"      
Футбольные ворота с баскетбольным щитом (с сетками)
шт.</t>
  </si>
  <si>
    <t xml:space="preserve">
----------
2769,35</t>
  </si>
  <si>
    <t xml:space="preserve">
----------
5539</t>
  </si>
  <si>
    <t xml:space="preserve">
----------
41319</t>
  </si>
  <si>
    <t xml:space="preserve">    Итого по разделу 4 МАФ (дополнительный перечень)</t>
  </si>
  <si>
    <t>Возврат материалов</t>
  </si>
  <si>
    <t>Итого прямые затраты по смете</t>
  </si>
  <si>
    <t>4100
----------
90160</t>
  </si>
  <si>
    <t>10494
----------
905</t>
  </si>
  <si>
    <t>86652
----------
600870</t>
  </si>
  <si>
    <t>71170
----------
18292</t>
  </si>
  <si>
    <t xml:space="preserve">    ВСЕГО по смете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</si>
  <si>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109 396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</si>
  <si>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 488 368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</si>
  <si>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 181 140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</si>
  <si>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 139 879 * (1,08*1,05*1,2)</t>
  </si>
  <si>
    <t xml:space="preserve">    НДС 20%</t>
  </si>
  <si>
    <t>С учетом индекса-дефлятора к 2019 году     К=1,05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</si>
  <si>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 918 787 * 1,08</t>
  </si>
  <si>
    <t>Составил:______________ (Бугаенко А.К.)</t>
  </si>
  <si>
    <t>Приложение №2 к информационной карте</t>
  </si>
  <si>
    <t xml:space="preserve">ЛОКАЛЬНАЯ  СМЕТА </t>
  </si>
  <si>
    <t>на выполнение работ по ремонту придомовой территории по программе "Формирование современной городской среды" по адресу ул.Карла Маркса,225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</si>
</sst>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8" fillId="31" borderId="0" applyNumberFormat="0" applyBorder="0" applyAlignment="0" applyProtection="0"/>
    <xf numFmtId="0" fontId="2" fillId="0" borderId="0">
      <alignment/>
      <protection/>
    </xf>
  </cellStyleXfs>
  <cellXfs count="1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1" xfId="63" applyFont="1">
      <alignment horizontal="center"/>
    </xf>
    <xf numFmtId="0" fontId="2" fillId="0" borderId="1" xfId="63" applyNumberFormat="1" applyFont="1">
      <alignment horizontal="center"/>
    </xf>
    <xf numFmtId="2" fontId="2" fillId="0" borderId="1" xfId="63" applyNumberFormat="1" applyFont="1">
      <alignment horizontal="center"/>
    </xf>
    <xf numFmtId="0" fontId="2" fillId="32" borderId="1" xfId="63" applyFont="1" applyFill="1">
      <alignment horizontal="center"/>
    </xf>
    <xf numFmtId="49" fontId="2" fillId="0" borderId="1" xfId="63" applyNumberFormat="1" applyFont="1">
      <alignment horizontal="center"/>
    </xf>
    <xf numFmtId="0" fontId="2" fillId="0" borderId="0" xfId="63" applyFont="1" applyBorder="1">
      <alignment horizontal="center"/>
    </xf>
    <xf numFmtId="0" fontId="2" fillId="0" borderId="0" xfId="53" applyFont="1" applyBorder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0" fontId="15" fillId="0" borderId="0" xfId="0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10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8" fillId="0" borderId="0" xfId="81" applyFont="1" applyBorder="1" applyAlignment="1">
      <alignment vertical="center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13" xfId="81" applyFont="1" applyBorder="1" applyAlignment="1">
      <alignment horizontal="center" wrapText="1"/>
      <protection/>
    </xf>
    <xf numFmtId="0" fontId="9" fillId="0" borderId="14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18" xfId="6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81" applyFont="1" applyBorder="1" applyAlignment="1">
      <alignment horizontal="center" vertical="center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49"/>
  <sheetViews>
    <sheetView showGridLines="0" tabSelected="1" zoomScale="92" zoomScaleNormal="92" zoomScaleSheetLayoutView="100" zoomScalePageLayoutView="0" workbookViewId="0" topLeftCell="A1">
      <selection activeCell="A15" sqref="A15:N15"/>
    </sheetView>
  </sheetViews>
  <sheetFormatPr defaultColWidth="9.00390625" defaultRowHeight="12.75"/>
  <cols>
    <col min="1" max="1" width="8.125" style="1" customWidth="1"/>
    <col min="2" max="2" width="39.25390625" style="1" customWidth="1"/>
    <col min="3" max="3" width="11.875" style="1" customWidth="1"/>
    <col min="4" max="5" width="12.125" style="1" customWidth="1"/>
    <col min="6" max="6" width="12.00390625" style="1" customWidth="1"/>
    <col min="7" max="8" width="12.125" style="1" customWidth="1"/>
    <col min="9" max="9" width="10.75390625" style="1" customWidth="1"/>
    <col min="10" max="10" width="11.75390625" style="1" customWidth="1"/>
    <col min="11" max="11" width="11.625" style="2" customWidth="1"/>
    <col min="12" max="13" width="12.125" style="2" customWidth="1"/>
    <col min="14" max="14" width="10.875" style="2" customWidth="1"/>
    <col min="15" max="17" width="10.625" style="2" hidden="1" customWidth="1"/>
    <col min="18" max="19" width="9.125" style="2" hidden="1" customWidth="1"/>
    <col min="20" max="21" width="16.125" style="2" hidden="1" customWidth="1"/>
    <col min="22" max="44" width="9.125" style="2" hidden="1" customWidth="1"/>
    <col min="45" max="45" width="1.75390625" style="2" customWidth="1"/>
    <col min="46" max="46" width="1.875" style="2" customWidth="1"/>
    <col min="47" max="16384" width="9.125" style="2" customWidth="1"/>
  </cols>
  <sheetData>
    <row r="1" spans="1:14" ht="12.75">
      <c r="A1" s="75"/>
      <c r="B1" s="76"/>
      <c r="L1" s="77" t="s">
        <v>343</v>
      </c>
      <c r="M1" s="14"/>
      <c r="N1" s="14"/>
    </row>
    <row r="2" spans="12:14" ht="12.75">
      <c r="L2" s="43"/>
      <c r="M2" s="14"/>
      <c r="N2" s="14"/>
    </row>
    <row r="3" spans="1:45" ht="12.75" customHeight="1">
      <c r="A3" s="78"/>
      <c r="B3" s="79"/>
      <c r="C3" s="4"/>
      <c r="D3" s="5"/>
      <c r="E3" s="3"/>
      <c r="F3" s="6"/>
      <c r="G3" s="6"/>
      <c r="H3" s="6"/>
      <c r="L3" s="43"/>
      <c r="M3" s="14"/>
      <c r="N3" s="14"/>
      <c r="O3" s="72"/>
      <c r="P3" s="7"/>
      <c r="Q3" s="7"/>
      <c r="R3" s="7"/>
      <c r="S3" s="7"/>
      <c r="T3" s="7"/>
      <c r="U3" s="7"/>
      <c r="V3" s="7"/>
      <c r="W3" s="7"/>
      <c r="X3" s="7"/>
      <c r="Y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8"/>
    </row>
    <row r="4" spans="1:45" ht="12.75">
      <c r="A4" s="78"/>
      <c r="B4" s="76"/>
      <c r="C4" s="4"/>
      <c r="D4" s="5"/>
      <c r="E4" s="3"/>
      <c r="F4" s="6"/>
      <c r="G4" s="6"/>
      <c r="H4" s="6"/>
      <c r="L4" s="43"/>
      <c r="M4" s="14"/>
      <c r="N4" s="14"/>
      <c r="O4" s="80"/>
      <c r="P4" s="7"/>
      <c r="Q4" s="7"/>
      <c r="R4" s="7"/>
      <c r="S4" s="7"/>
      <c r="T4" s="7"/>
      <c r="U4" s="7"/>
      <c r="V4" s="7"/>
      <c r="W4" s="7"/>
      <c r="X4" s="7"/>
      <c r="Y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8"/>
    </row>
    <row r="5" spans="1:45" ht="12.75">
      <c r="A5" s="3"/>
      <c r="B5" s="9"/>
      <c r="C5" s="4"/>
      <c r="D5" s="5"/>
      <c r="E5" s="3"/>
      <c r="F5" s="6"/>
      <c r="G5" s="6"/>
      <c r="H5" s="6"/>
      <c r="L5" s="43"/>
      <c r="M5" s="14"/>
      <c r="N5" s="14"/>
      <c r="O5" s="81"/>
      <c r="P5" s="7"/>
      <c r="Q5" s="7"/>
      <c r="R5" s="7"/>
      <c r="S5" s="7"/>
      <c r="T5" s="7"/>
      <c r="U5" s="7"/>
      <c r="V5" s="7"/>
      <c r="W5" s="7"/>
      <c r="X5" s="7"/>
      <c r="Y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</row>
    <row r="6" spans="1:45" ht="12.75" customHeight="1">
      <c r="A6" s="43"/>
      <c r="B6" s="14"/>
      <c r="C6" s="4"/>
      <c r="D6" s="5"/>
      <c r="E6" s="3"/>
      <c r="F6" s="6"/>
      <c r="G6" s="6"/>
      <c r="H6" s="6"/>
      <c r="L6" s="43"/>
      <c r="M6" s="14"/>
      <c r="N6" s="14"/>
      <c r="O6" s="80"/>
      <c r="P6" s="7"/>
      <c r="Q6" s="7"/>
      <c r="R6" s="7"/>
      <c r="S6" s="7"/>
      <c r="T6" s="7"/>
      <c r="U6" s="7"/>
      <c r="V6" s="7"/>
      <c r="W6" s="7"/>
      <c r="X6" s="7"/>
      <c r="Y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</row>
    <row r="7" spans="1:45" ht="12.75">
      <c r="A7" s="43"/>
      <c r="B7" s="14"/>
      <c r="C7" s="10"/>
      <c r="D7" s="10"/>
      <c r="I7" s="2"/>
      <c r="J7" s="2"/>
      <c r="L7" s="43"/>
      <c r="M7" s="14"/>
      <c r="N7" s="14"/>
      <c r="O7" s="82"/>
      <c r="P7" s="7"/>
      <c r="Q7" s="7"/>
      <c r="R7" s="7"/>
      <c r="S7" s="7"/>
      <c r="T7" s="7"/>
      <c r="U7" s="7"/>
      <c r="V7" s="7"/>
      <c r="W7" s="7"/>
      <c r="X7" s="7"/>
      <c r="Y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</row>
    <row r="8" spans="1:45" ht="12.75">
      <c r="A8" s="43"/>
      <c r="B8" s="14"/>
      <c r="C8" s="10"/>
      <c r="D8" s="10"/>
      <c r="I8" s="43"/>
      <c r="J8" s="14"/>
      <c r="K8" s="14"/>
      <c r="L8" s="82"/>
      <c r="M8" s="82"/>
      <c r="N8" s="82"/>
      <c r="O8" s="82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</row>
    <row r="9" spans="1:45" ht="12.7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</row>
    <row r="10" spans="1:45" ht="12.75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</row>
    <row r="11" spans="1:4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</row>
    <row r="12" spans="1:45" ht="12.75" customHeight="1">
      <c r="A12" s="111" t="s">
        <v>344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</row>
    <row r="13" spans="1:45" ht="12.75" customHeight="1">
      <c r="A13" s="98" t="s">
        <v>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</row>
    <row r="14" spans="1:45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</row>
    <row r="15" spans="1:45" ht="12.75">
      <c r="A15" s="87" t="s">
        <v>345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</row>
    <row r="16" spans="1:45" ht="12.75">
      <c r="A16" s="15"/>
      <c r="B16" s="16"/>
      <c r="C16" s="17"/>
      <c r="D16" s="14"/>
      <c r="E16" s="14"/>
      <c r="F16" s="14"/>
      <c r="G16" s="14"/>
      <c r="H16" s="14"/>
      <c r="I16" s="16"/>
      <c r="J16" s="1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"/>
    </row>
    <row r="17" spans="1:45" ht="12.75">
      <c r="A17" s="15"/>
      <c r="C17" s="2"/>
      <c r="D17" s="18"/>
      <c r="E17" s="18"/>
      <c r="F17" s="16" t="s">
        <v>1</v>
      </c>
      <c r="G17" s="16"/>
      <c r="H17" s="16"/>
      <c r="I17" s="16"/>
      <c r="J17" s="16"/>
      <c r="K17" s="112">
        <f>1250285/1000</f>
        <v>1250.285</v>
      </c>
      <c r="L17" s="112"/>
      <c r="M17" s="19" t="s">
        <v>6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8"/>
    </row>
    <row r="18" spans="1:45" ht="12.75">
      <c r="A18" s="15"/>
      <c r="C18" s="2"/>
      <c r="D18" s="18"/>
      <c r="E18" s="18"/>
      <c r="F18" s="16" t="s">
        <v>8</v>
      </c>
      <c r="G18" s="16"/>
      <c r="H18" s="16"/>
      <c r="I18" s="16"/>
      <c r="J18" s="16"/>
      <c r="K18" s="113">
        <v>476.93</v>
      </c>
      <c r="L18" s="113"/>
      <c r="M18" s="20" t="s">
        <v>7</v>
      </c>
      <c r="N18" s="21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8"/>
    </row>
    <row r="19" spans="1:45" ht="12.75">
      <c r="A19" s="15"/>
      <c r="C19" s="22"/>
      <c r="D19" s="18"/>
      <c r="E19" s="18"/>
      <c r="F19" s="16" t="s">
        <v>5</v>
      </c>
      <c r="G19" s="16"/>
      <c r="H19" s="16"/>
      <c r="I19" s="16"/>
      <c r="J19" s="16"/>
      <c r="K19" s="112">
        <f>104944/1000</f>
        <v>104.944</v>
      </c>
      <c r="L19" s="112"/>
      <c r="M19" s="20" t="s">
        <v>6</v>
      </c>
      <c r="N19" s="21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8"/>
    </row>
    <row r="20" spans="1:45" ht="12.75">
      <c r="A20" s="15"/>
      <c r="C20" s="16"/>
      <c r="D20" s="16"/>
      <c r="E20" s="16"/>
      <c r="F20" s="16"/>
      <c r="G20" s="16"/>
      <c r="H20" s="16"/>
      <c r="I20" s="16"/>
      <c r="J20" s="1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8"/>
    </row>
    <row r="21" spans="1:45" s="23" customFormat="1" ht="12.75">
      <c r="A21" s="15"/>
      <c r="B21" s="12"/>
      <c r="C21" s="13"/>
      <c r="D21" s="14"/>
      <c r="E21" s="14"/>
      <c r="F21" s="14"/>
      <c r="G21" s="14"/>
      <c r="H21" s="14"/>
      <c r="I21" s="14"/>
      <c r="J21" s="14"/>
      <c r="K21" s="2"/>
      <c r="L21" s="2"/>
      <c r="M21" s="2"/>
      <c r="N21" s="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8"/>
    </row>
    <row r="22" spans="1:45" s="26" customFormat="1" ht="12.75">
      <c r="A22" s="106" t="s">
        <v>2</v>
      </c>
      <c r="B22" s="106" t="s">
        <v>10</v>
      </c>
      <c r="C22" s="106" t="s">
        <v>13</v>
      </c>
      <c r="D22" s="103" t="s">
        <v>11</v>
      </c>
      <c r="E22" s="104"/>
      <c r="F22" s="105"/>
      <c r="G22" s="103" t="s">
        <v>12</v>
      </c>
      <c r="H22" s="104"/>
      <c r="I22" s="105"/>
      <c r="J22" s="109" t="s">
        <v>3</v>
      </c>
      <c r="K22" s="110"/>
      <c r="L22" s="101" t="s">
        <v>18</v>
      </c>
      <c r="M22" s="101"/>
      <c r="N22" s="101"/>
      <c r="O22" s="25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8"/>
    </row>
    <row r="23" spans="1:47" s="28" customFormat="1" ht="12.75">
      <c r="A23" s="107"/>
      <c r="B23" s="107"/>
      <c r="C23" s="107"/>
      <c r="D23" s="99" t="s">
        <v>9</v>
      </c>
      <c r="E23" s="24" t="s">
        <v>17</v>
      </c>
      <c r="F23" s="24" t="s">
        <v>14</v>
      </c>
      <c r="G23" s="99" t="s">
        <v>9</v>
      </c>
      <c r="H23" s="24" t="s">
        <v>17</v>
      </c>
      <c r="I23" s="24" t="s">
        <v>14</v>
      </c>
      <c r="J23" s="24" t="s">
        <v>17</v>
      </c>
      <c r="K23" s="24" t="s">
        <v>14</v>
      </c>
      <c r="L23" s="101" t="s">
        <v>9</v>
      </c>
      <c r="M23" s="24" t="s">
        <v>17</v>
      </c>
      <c r="N23" s="24" t="s">
        <v>14</v>
      </c>
      <c r="O23" s="25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8"/>
      <c r="AT23" s="27"/>
      <c r="AU23" s="27"/>
    </row>
    <row r="24" spans="1:47" ht="12.75">
      <c r="A24" s="108"/>
      <c r="B24" s="108"/>
      <c r="C24" s="108"/>
      <c r="D24" s="100"/>
      <c r="E24" s="29" t="s">
        <v>16</v>
      </c>
      <c r="F24" s="24" t="s">
        <v>15</v>
      </c>
      <c r="G24" s="100"/>
      <c r="H24" s="29" t="s">
        <v>16</v>
      </c>
      <c r="I24" s="24" t="s">
        <v>15</v>
      </c>
      <c r="J24" s="29" t="s">
        <v>16</v>
      </c>
      <c r="K24" s="24" t="s">
        <v>15</v>
      </c>
      <c r="L24" s="102"/>
      <c r="M24" s="29" t="s">
        <v>16</v>
      </c>
      <c r="N24" s="24" t="s">
        <v>15</v>
      </c>
      <c r="O24" s="30" t="s">
        <v>25</v>
      </c>
      <c r="P24" s="7"/>
      <c r="Q24" s="31" t="s">
        <v>20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 t="s">
        <v>21</v>
      </c>
      <c r="AF24" s="7" t="s">
        <v>22</v>
      </c>
      <c r="AG24" s="7" t="s">
        <v>23</v>
      </c>
      <c r="AH24" s="7" t="s">
        <v>24</v>
      </c>
      <c r="AI24" s="7" t="s">
        <v>26</v>
      </c>
      <c r="AJ24" s="7" t="s">
        <v>27</v>
      </c>
      <c r="AK24" s="7" t="s">
        <v>28</v>
      </c>
      <c r="AL24" s="7" t="s">
        <v>29</v>
      </c>
      <c r="AM24" s="7" t="s">
        <v>30</v>
      </c>
      <c r="AN24" s="7" t="s">
        <v>31</v>
      </c>
      <c r="AO24" s="32"/>
      <c r="AP24" s="32"/>
      <c r="AQ24" s="32"/>
      <c r="AR24" s="32"/>
      <c r="AS24" s="33"/>
      <c r="AT24" s="33"/>
      <c r="AU24" s="33"/>
    </row>
    <row r="25" spans="1:47" ht="12.75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5">
        <v>7</v>
      </c>
      <c r="H25" s="35">
        <v>8</v>
      </c>
      <c r="I25" s="35">
        <v>9</v>
      </c>
      <c r="J25" s="35">
        <v>10</v>
      </c>
      <c r="K25" s="35">
        <v>11</v>
      </c>
      <c r="L25" s="35">
        <v>12</v>
      </c>
      <c r="M25" s="35">
        <v>13</v>
      </c>
      <c r="N25" s="35">
        <v>14</v>
      </c>
      <c r="O25" s="36"/>
      <c r="P25" s="34"/>
      <c r="Q25" s="36"/>
      <c r="R25" s="36"/>
      <c r="S25" s="36"/>
      <c r="T25" s="34"/>
      <c r="U25" s="34"/>
      <c r="V25" s="36"/>
      <c r="W25" s="36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7"/>
      <c r="AJ25" s="37"/>
      <c r="AK25" s="37"/>
      <c r="AL25" s="37"/>
      <c r="AM25" s="34"/>
      <c r="AN25" s="37"/>
      <c r="AO25" s="38"/>
      <c r="AP25" s="38"/>
      <c r="AQ25" s="38"/>
      <c r="AR25" s="38"/>
      <c r="AS25" s="39"/>
      <c r="AT25" s="39"/>
      <c r="AU25" s="39"/>
    </row>
    <row r="26" spans="1:45" ht="21" customHeight="1">
      <c r="A26" s="97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8"/>
    </row>
    <row r="27" spans="1:45" ht="114.75">
      <c r="A27" s="44">
        <v>1</v>
      </c>
      <c r="B27" s="45" t="s">
        <v>33</v>
      </c>
      <c r="C27" s="46">
        <v>0.42365</v>
      </c>
      <c r="D27" s="47">
        <v>3810.94</v>
      </c>
      <c r="E27" s="47">
        <v>56.16</v>
      </c>
      <c r="F27" s="47" t="s">
        <v>34</v>
      </c>
      <c r="G27" s="47">
        <v>1615</v>
      </c>
      <c r="H27" s="47">
        <v>24</v>
      </c>
      <c r="I27" s="47" t="s">
        <v>35</v>
      </c>
      <c r="J27" s="47">
        <v>21.13</v>
      </c>
      <c r="K27" s="48" t="s">
        <v>36</v>
      </c>
      <c r="L27" s="47">
        <v>8224</v>
      </c>
      <c r="M27" s="47">
        <v>503</v>
      </c>
      <c r="N27" s="47" t="s">
        <v>37</v>
      </c>
      <c r="O27" s="49">
        <f>24+106</f>
        <v>130</v>
      </c>
      <c r="P27" s="50" t="s">
        <v>38</v>
      </c>
      <c r="Q27" s="49">
        <f>503+2150</f>
        <v>2653</v>
      </c>
      <c r="R27" s="49">
        <v>1615</v>
      </c>
      <c r="S27" s="49">
        <v>8224</v>
      </c>
      <c r="T27" s="50" t="s">
        <v>39</v>
      </c>
      <c r="U27" s="50" t="s">
        <v>40</v>
      </c>
      <c r="V27" s="49">
        <v>2335</v>
      </c>
      <c r="W27" s="49">
        <v>1273</v>
      </c>
      <c r="X27" s="50">
        <v>11832</v>
      </c>
      <c r="Y27" s="50">
        <v>135</v>
      </c>
      <c r="Z27" s="50">
        <v>78</v>
      </c>
      <c r="AA27" s="50">
        <v>88</v>
      </c>
      <c r="AB27" s="50">
        <v>48</v>
      </c>
      <c r="AC27" s="50" t="s">
        <v>41</v>
      </c>
      <c r="AD27" s="50" t="s">
        <v>41</v>
      </c>
      <c r="AE27" s="51">
        <v>503</v>
      </c>
      <c r="AF27" s="51">
        <v>7721</v>
      </c>
      <c r="AG27" s="51">
        <v>2150</v>
      </c>
      <c r="AH27" s="51"/>
      <c r="AI27" s="49">
        <v>24</v>
      </c>
      <c r="AJ27" s="49">
        <v>1591</v>
      </c>
      <c r="AK27" s="49">
        <v>106</v>
      </c>
      <c r="AL27" s="49"/>
      <c r="AM27" s="49">
        <v>8224</v>
      </c>
      <c r="AN27" s="49">
        <v>1615</v>
      </c>
      <c r="AO27" s="52">
        <v>21.13</v>
      </c>
      <c r="AP27" s="52">
        <v>4.854</v>
      </c>
      <c r="AQ27" s="52">
        <v>20.234</v>
      </c>
      <c r="AR27" s="52" t="s">
        <v>19</v>
      </c>
      <c r="AS27" s="8"/>
    </row>
    <row r="28" spans="1:45" ht="89.25">
      <c r="A28" s="44">
        <v>2</v>
      </c>
      <c r="B28" s="45" t="s">
        <v>42</v>
      </c>
      <c r="C28" s="46">
        <v>0.02</v>
      </c>
      <c r="D28" s="47">
        <v>6008.44</v>
      </c>
      <c r="E28" s="47">
        <v>2022.24</v>
      </c>
      <c r="F28" s="47" t="s">
        <v>43</v>
      </c>
      <c r="G28" s="47">
        <v>120</v>
      </c>
      <c r="H28" s="47">
        <v>40</v>
      </c>
      <c r="I28" s="47" t="s">
        <v>44</v>
      </c>
      <c r="J28" s="47">
        <v>21.13</v>
      </c>
      <c r="K28" s="48" t="s">
        <v>45</v>
      </c>
      <c r="L28" s="47">
        <v>1260</v>
      </c>
      <c r="M28" s="47">
        <v>855</v>
      </c>
      <c r="N28" s="47" t="s">
        <v>46</v>
      </c>
      <c r="O28" s="49">
        <f>40+8</f>
        <v>48</v>
      </c>
      <c r="P28" s="50" t="s">
        <v>38</v>
      </c>
      <c r="Q28" s="49">
        <f>855+171</f>
        <v>1026</v>
      </c>
      <c r="R28" s="49">
        <v>120</v>
      </c>
      <c r="S28" s="49">
        <v>1260</v>
      </c>
      <c r="T28" s="50" t="s">
        <v>39</v>
      </c>
      <c r="U28" s="50" t="s">
        <v>40</v>
      </c>
      <c r="V28" s="49">
        <v>903</v>
      </c>
      <c r="W28" s="49">
        <v>492</v>
      </c>
      <c r="X28" s="50">
        <v>2655</v>
      </c>
      <c r="Y28" s="50">
        <v>50</v>
      </c>
      <c r="Z28" s="50">
        <v>29</v>
      </c>
      <c r="AA28" s="50">
        <v>88</v>
      </c>
      <c r="AB28" s="50">
        <v>48</v>
      </c>
      <c r="AC28" s="50" t="s">
        <v>41</v>
      </c>
      <c r="AD28" s="50" t="s">
        <v>41</v>
      </c>
      <c r="AE28" s="51">
        <v>855</v>
      </c>
      <c r="AF28" s="51">
        <v>405</v>
      </c>
      <c r="AG28" s="51">
        <v>171</v>
      </c>
      <c r="AH28" s="51"/>
      <c r="AI28" s="49">
        <v>40</v>
      </c>
      <c r="AJ28" s="49">
        <v>80</v>
      </c>
      <c r="AK28" s="49">
        <v>8</v>
      </c>
      <c r="AL28" s="49"/>
      <c r="AM28" s="49">
        <v>1260</v>
      </c>
      <c r="AN28" s="49">
        <v>120</v>
      </c>
      <c r="AO28" s="52">
        <v>21.13</v>
      </c>
      <c r="AP28" s="52">
        <v>5.085</v>
      </c>
      <c r="AQ28" s="52">
        <v>20.211</v>
      </c>
      <c r="AR28" s="52" t="s">
        <v>19</v>
      </c>
      <c r="AS28" s="8"/>
    </row>
    <row r="29" spans="1:45" ht="89.25">
      <c r="A29" s="44">
        <v>3</v>
      </c>
      <c r="B29" s="45" t="s">
        <v>47</v>
      </c>
      <c r="C29" s="46">
        <v>2.364</v>
      </c>
      <c r="D29" s="47">
        <v>1478.92</v>
      </c>
      <c r="E29" s="47">
        <v>589.77</v>
      </c>
      <c r="F29" s="47" t="s">
        <v>48</v>
      </c>
      <c r="G29" s="47">
        <v>3496</v>
      </c>
      <c r="H29" s="47">
        <v>1394</v>
      </c>
      <c r="I29" s="47" t="s">
        <v>49</v>
      </c>
      <c r="J29" s="47">
        <v>21.13</v>
      </c>
      <c r="K29" s="48" t="s">
        <v>50</v>
      </c>
      <c r="L29" s="47">
        <v>39518</v>
      </c>
      <c r="M29" s="47">
        <v>29460</v>
      </c>
      <c r="N29" s="47" t="s">
        <v>51</v>
      </c>
      <c r="O29" s="49">
        <f>1394+224</f>
        <v>1618</v>
      </c>
      <c r="P29" s="50" t="s">
        <v>38</v>
      </c>
      <c r="Q29" s="49">
        <f>29460+4518</f>
        <v>33978</v>
      </c>
      <c r="R29" s="49">
        <v>3496</v>
      </c>
      <c r="S29" s="49">
        <v>39518</v>
      </c>
      <c r="T29" s="50" t="s">
        <v>39</v>
      </c>
      <c r="U29" s="50" t="s">
        <v>40</v>
      </c>
      <c r="V29" s="49">
        <v>29901</v>
      </c>
      <c r="W29" s="49">
        <v>16309</v>
      </c>
      <c r="X29" s="50">
        <v>85728</v>
      </c>
      <c r="Y29" s="50">
        <v>1683</v>
      </c>
      <c r="Z29" s="50">
        <v>971</v>
      </c>
      <c r="AA29" s="50">
        <v>88</v>
      </c>
      <c r="AB29" s="50">
        <v>48</v>
      </c>
      <c r="AC29" s="50" t="s">
        <v>41</v>
      </c>
      <c r="AD29" s="50" t="s">
        <v>41</v>
      </c>
      <c r="AE29" s="51">
        <v>29460</v>
      </c>
      <c r="AF29" s="51">
        <v>10058</v>
      </c>
      <c r="AG29" s="51">
        <v>4518</v>
      </c>
      <c r="AH29" s="51"/>
      <c r="AI29" s="49">
        <v>1394</v>
      </c>
      <c r="AJ29" s="49">
        <v>2102</v>
      </c>
      <c r="AK29" s="49">
        <v>224</v>
      </c>
      <c r="AL29" s="49"/>
      <c r="AM29" s="49">
        <v>39518</v>
      </c>
      <c r="AN29" s="49">
        <v>3496</v>
      </c>
      <c r="AO29" s="52">
        <v>21.13</v>
      </c>
      <c r="AP29" s="52">
        <v>4.785</v>
      </c>
      <c r="AQ29" s="52">
        <v>20.211</v>
      </c>
      <c r="AR29" s="52" t="s">
        <v>19</v>
      </c>
      <c r="AS29" s="8"/>
    </row>
    <row r="30" spans="1:45" ht="102">
      <c r="A30" s="44">
        <v>4</v>
      </c>
      <c r="B30" s="45" t="s">
        <v>52</v>
      </c>
      <c r="C30" s="46">
        <v>28.22</v>
      </c>
      <c r="D30" s="47">
        <v>3.28</v>
      </c>
      <c r="E30" s="47"/>
      <c r="F30" s="47">
        <v>3.28</v>
      </c>
      <c r="G30" s="47">
        <v>93</v>
      </c>
      <c r="H30" s="47"/>
      <c r="I30" s="47">
        <v>93</v>
      </c>
      <c r="J30" s="47"/>
      <c r="K30" s="48">
        <v>10.168</v>
      </c>
      <c r="L30" s="47">
        <v>941</v>
      </c>
      <c r="M30" s="47"/>
      <c r="N30" s="47">
        <v>941</v>
      </c>
      <c r="O30" s="49">
        <f>0+0</f>
        <v>0</v>
      </c>
      <c r="P30" s="50" t="s">
        <v>38</v>
      </c>
      <c r="Q30" s="49">
        <f>0+0</f>
        <v>0</v>
      </c>
      <c r="R30" s="49">
        <v>93</v>
      </c>
      <c r="S30" s="49">
        <v>941</v>
      </c>
      <c r="T30" s="50" t="s">
        <v>53</v>
      </c>
      <c r="U30" s="50" t="s">
        <v>54</v>
      </c>
      <c r="V30" s="49"/>
      <c r="W30" s="49"/>
      <c r="X30" s="50">
        <v>941</v>
      </c>
      <c r="Y30" s="50"/>
      <c r="Z30" s="50"/>
      <c r="AA30" s="50">
        <v>0</v>
      </c>
      <c r="AB30" s="50">
        <v>0</v>
      </c>
      <c r="AC30" s="50" t="s">
        <v>41</v>
      </c>
      <c r="AD30" s="50" t="s">
        <v>41</v>
      </c>
      <c r="AE30" s="51"/>
      <c r="AF30" s="51">
        <v>941</v>
      </c>
      <c r="AG30" s="51"/>
      <c r="AH30" s="51"/>
      <c r="AI30" s="49"/>
      <c r="AJ30" s="49">
        <v>93</v>
      </c>
      <c r="AK30" s="49"/>
      <c r="AL30" s="49"/>
      <c r="AM30" s="49">
        <v>941</v>
      </c>
      <c r="AN30" s="49">
        <v>93</v>
      </c>
      <c r="AO30" s="52" t="s">
        <v>19</v>
      </c>
      <c r="AP30" s="52">
        <v>10.168</v>
      </c>
      <c r="AQ30" s="52" t="s">
        <v>19</v>
      </c>
      <c r="AR30" s="52" t="s">
        <v>19</v>
      </c>
      <c r="AS30" s="8"/>
    </row>
    <row r="31" spans="1:45" ht="114.75">
      <c r="A31" s="44">
        <v>5</v>
      </c>
      <c r="B31" s="45" t="s">
        <v>55</v>
      </c>
      <c r="C31" s="46">
        <v>70.16</v>
      </c>
      <c r="D31" s="47">
        <v>11.81</v>
      </c>
      <c r="E31" s="47"/>
      <c r="F31" s="47">
        <v>11.81</v>
      </c>
      <c r="G31" s="47">
        <v>829</v>
      </c>
      <c r="H31" s="47"/>
      <c r="I31" s="47">
        <v>829</v>
      </c>
      <c r="J31" s="47"/>
      <c r="K31" s="48">
        <v>9.944</v>
      </c>
      <c r="L31" s="47">
        <v>8240</v>
      </c>
      <c r="M31" s="47"/>
      <c r="N31" s="47">
        <v>8240</v>
      </c>
      <c r="O31" s="49">
        <f>0+0</f>
        <v>0</v>
      </c>
      <c r="P31" s="50" t="s">
        <v>38</v>
      </c>
      <c r="Q31" s="49">
        <f>0+0</f>
        <v>0</v>
      </c>
      <c r="R31" s="49">
        <v>829</v>
      </c>
      <c r="S31" s="49">
        <v>8240</v>
      </c>
      <c r="T31" s="50" t="s">
        <v>53</v>
      </c>
      <c r="U31" s="50" t="s">
        <v>54</v>
      </c>
      <c r="V31" s="49"/>
      <c r="W31" s="49"/>
      <c r="X31" s="50">
        <v>8240</v>
      </c>
      <c r="Y31" s="50"/>
      <c r="Z31" s="50"/>
      <c r="AA31" s="50">
        <v>0</v>
      </c>
      <c r="AB31" s="50">
        <v>0</v>
      </c>
      <c r="AC31" s="50" t="s">
        <v>41</v>
      </c>
      <c r="AD31" s="50" t="s">
        <v>41</v>
      </c>
      <c r="AE31" s="51"/>
      <c r="AF31" s="51">
        <v>8240</v>
      </c>
      <c r="AG31" s="51"/>
      <c r="AH31" s="51"/>
      <c r="AI31" s="49"/>
      <c r="AJ31" s="49">
        <v>829</v>
      </c>
      <c r="AK31" s="49"/>
      <c r="AL31" s="49"/>
      <c r="AM31" s="49">
        <v>8240</v>
      </c>
      <c r="AN31" s="49">
        <v>829</v>
      </c>
      <c r="AO31" s="52" t="s">
        <v>19</v>
      </c>
      <c r="AP31" s="52">
        <v>9.944</v>
      </c>
      <c r="AQ31" s="52" t="s">
        <v>19</v>
      </c>
      <c r="AR31" s="52" t="s">
        <v>19</v>
      </c>
      <c r="AS31" s="8"/>
    </row>
    <row r="32" spans="1:45" ht="12.75">
      <c r="A32" s="85" t="s">
        <v>63</v>
      </c>
      <c r="B32" s="86"/>
      <c r="C32" s="86"/>
      <c r="D32" s="86"/>
      <c r="E32" s="86"/>
      <c r="F32" s="86"/>
      <c r="G32" s="73">
        <v>9099</v>
      </c>
      <c r="H32" s="47"/>
      <c r="I32" s="47"/>
      <c r="J32" s="47"/>
      <c r="K32" s="48"/>
      <c r="L32" s="73">
        <v>109396</v>
      </c>
      <c r="M32" s="47"/>
      <c r="N32" s="47"/>
      <c r="O32" s="53" t="s">
        <v>56</v>
      </c>
      <c r="P32" s="54" t="s">
        <v>56</v>
      </c>
      <c r="Q32" s="53" t="s">
        <v>56</v>
      </c>
      <c r="R32" s="53" t="s">
        <v>56</v>
      </c>
      <c r="S32" s="53" t="s">
        <v>56</v>
      </c>
      <c r="T32" s="54" t="s">
        <v>56</v>
      </c>
      <c r="U32" s="54" t="s">
        <v>56</v>
      </c>
      <c r="V32" s="53" t="s">
        <v>56</v>
      </c>
      <c r="W32" s="53" t="s">
        <v>56</v>
      </c>
      <c r="X32" s="54" t="s">
        <v>56</v>
      </c>
      <c r="Y32" s="54" t="s">
        <v>56</v>
      </c>
      <c r="Z32" s="54" t="s">
        <v>56</v>
      </c>
      <c r="AA32" s="54" t="s">
        <v>56</v>
      </c>
      <c r="AB32" s="54" t="s">
        <v>56</v>
      </c>
      <c r="AC32" s="54" t="s">
        <v>56</v>
      </c>
      <c r="AD32" s="54" t="s">
        <v>56</v>
      </c>
      <c r="AE32" s="55" t="s">
        <v>56</v>
      </c>
      <c r="AF32" s="55" t="s">
        <v>56</v>
      </c>
      <c r="AG32" s="55" t="s">
        <v>56</v>
      </c>
      <c r="AH32" s="55" t="s">
        <v>56</v>
      </c>
      <c r="AI32" s="53" t="s">
        <v>56</v>
      </c>
      <c r="AJ32" s="53" t="s">
        <v>56</v>
      </c>
      <c r="AK32" s="53" t="s">
        <v>56</v>
      </c>
      <c r="AL32" s="53" t="s">
        <v>56</v>
      </c>
      <c r="AM32" s="53"/>
      <c r="AN32" s="53"/>
      <c r="AO32" s="56" t="s">
        <v>56</v>
      </c>
      <c r="AP32" s="56" t="s">
        <v>56</v>
      </c>
      <c r="AQ32" s="56" t="s">
        <v>56</v>
      </c>
      <c r="AR32" s="56" t="s">
        <v>56</v>
      </c>
      <c r="AS32" s="8"/>
    </row>
    <row r="33" spans="1:45" ht="42" customHeight="1">
      <c r="A33" s="85" t="s">
        <v>335</v>
      </c>
      <c r="B33" s="86"/>
      <c r="C33" s="86"/>
      <c r="D33" s="86"/>
      <c r="E33" s="86"/>
      <c r="F33" s="86"/>
      <c r="G33" s="73"/>
      <c r="H33" s="47"/>
      <c r="I33" s="47"/>
      <c r="J33" s="47"/>
      <c r="K33" s="48"/>
      <c r="L33" s="73">
        <v>148866</v>
      </c>
      <c r="M33" s="47"/>
      <c r="N33" s="47"/>
      <c r="O33" s="53" t="s">
        <v>56</v>
      </c>
      <c r="P33" s="54" t="s">
        <v>56</v>
      </c>
      <c r="Q33" s="53" t="s">
        <v>56</v>
      </c>
      <c r="R33" s="53" t="s">
        <v>56</v>
      </c>
      <c r="S33" s="53" t="s">
        <v>56</v>
      </c>
      <c r="T33" s="54" t="s">
        <v>56</v>
      </c>
      <c r="U33" s="54" t="s">
        <v>56</v>
      </c>
      <c r="V33" s="53" t="s">
        <v>56</v>
      </c>
      <c r="W33" s="53" t="s">
        <v>56</v>
      </c>
      <c r="X33" s="54" t="s">
        <v>56</v>
      </c>
      <c r="Y33" s="54" t="s">
        <v>56</v>
      </c>
      <c r="Z33" s="54" t="s">
        <v>56</v>
      </c>
      <c r="AA33" s="54" t="s">
        <v>56</v>
      </c>
      <c r="AB33" s="54" t="s">
        <v>56</v>
      </c>
      <c r="AC33" s="54" t="s">
        <v>56</v>
      </c>
      <c r="AD33" s="54" t="s">
        <v>56</v>
      </c>
      <c r="AE33" s="55" t="s">
        <v>56</v>
      </c>
      <c r="AF33" s="55" t="s">
        <v>56</v>
      </c>
      <c r="AG33" s="55" t="s">
        <v>56</v>
      </c>
      <c r="AH33" s="55" t="s">
        <v>56</v>
      </c>
      <c r="AI33" s="53" t="s">
        <v>56</v>
      </c>
      <c r="AJ33" s="53" t="s">
        <v>56</v>
      </c>
      <c r="AK33" s="53" t="s">
        <v>56</v>
      </c>
      <c r="AL33" s="53" t="s">
        <v>56</v>
      </c>
      <c r="AM33" s="53"/>
      <c r="AN33" s="53"/>
      <c r="AO33" s="56" t="s">
        <v>56</v>
      </c>
      <c r="AP33" s="56" t="s">
        <v>56</v>
      </c>
      <c r="AQ33" s="56" t="s">
        <v>56</v>
      </c>
      <c r="AR33" s="56" t="s">
        <v>56</v>
      </c>
      <c r="AS33" s="8"/>
    </row>
    <row r="34" spans="1:45" ht="27.75" customHeight="1">
      <c r="A34" s="83" t="s">
        <v>64</v>
      </c>
      <c r="B34" s="84"/>
      <c r="C34" s="84"/>
      <c r="D34" s="84"/>
      <c r="E34" s="84"/>
      <c r="F34" s="84"/>
      <c r="G34" s="74">
        <v>9099</v>
      </c>
      <c r="H34" s="57"/>
      <c r="I34" s="57"/>
      <c r="J34" s="57"/>
      <c r="K34" s="58"/>
      <c r="L34" s="74">
        <v>148866</v>
      </c>
      <c r="M34" s="57"/>
      <c r="N34" s="57"/>
      <c r="O34" s="59" t="s">
        <v>56</v>
      </c>
      <c r="P34" s="60" t="s">
        <v>56</v>
      </c>
      <c r="Q34" s="59" t="s">
        <v>56</v>
      </c>
      <c r="R34" s="59" t="s">
        <v>56</v>
      </c>
      <c r="S34" s="59" t="s">
        <v>56</v>
      </c>
      <c r="T34" s="60" t="s">
        <v>56</v>
      </c>
      <c r="U34" s="60" t="s">
        <v>56</v>
      </c>
      <c r="V34" s="59" t="s">
        <v>56</v>
      </c>
      <c r="W34" s="59" t="s">
        <v>56</v>
      </c>
      <c r="X34" s="60" t="s">
        <v>56</v>
      </c>
      <c r="Y34" s="60" t="s">
        <v>56</v>
      </c>
      <c r="Z34" s="60" t="s">
        <v>56</v>
      </c>
      <c r="AA34" s="60" t="s">
        <v>56</v>
      </c>
      <c r="AB34" s="60" t="s">
        <v>56</v>
      </c>
      <c r="AC34" s="60" t="s">
        <v>56</v>
      </c>
      <c r="AD34" s="60" t="s">
        <v>56</v>
      </c>
      <c r="AE34" s="61" t="s">
        <v>56</v>
      </c>
      <c r="AF34" s="61" t="s">
        <v>56</v>
      </c>
      <c r="AG34" s="61" t="s">
        <v>56</v>
      </c>
      <c r="AH34" s="61" t="s">
        <v>56</v>
      </c>
      <c r="AI34" s="59" t="s">
        <v>56</v>
      </c>
      <c r="AJ34" s="59" t="s">
        <v>56</v>
      </c>
      <c r="AK34" s="59" t="s">
        <v>56</v>
      </c>
      <c r="AL34" s="59" t="s">
        <v>56</v>
      </c>
      <c r="AM34" s="59"/>
      <c r="AN34" s="59"/>
      <c r="AO34" s="62" t="s">
        <v>56</v>
      </c>
      <c r="AP34" s="62" t="s">
        <v>56</v>
      </c>
      <c r="AQ34" s="62" t="s">
        <v>56</v>
      </c>
      <c r="AR34" s="62" t="s">
        <v>56</v>
      </c>
      <c r="AS34" s="8"/>
    </row>
    <row r="35" spans="1:45" ht="21" customHeight="1">
      <c r="A35" s="95" t="s">
        <v>65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8"/>
    </row>
    <row r="36" spans="1:45" ht="17.25" customHeight="1">
      <c r="A36" s="93" t="s">
        <v>66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8"/>
    </row>
    <row r="37" spans="1:45" ht="114.75">
      <c r="A37" s="44">
        <v>6</v>
      </c>
      <c r="B37" s="45" t="s">
        <v>67</v>
      </c>
      <c r="C37" s="46">
        <v>0.07</v>
      </c>
      <c r="D37" s="47">
        <v>920.4</v>
      </c>
      <c r="E37" s="47">
        <v>920.4</v>
      </c>
      <c r="F37" s="47"/>
      <c r="G37" s="47">
        <v>64</v>
      </c>
      <c r="H37" s="47">
        <v>64</v>
      </c>
      <c r="I37" s="47"/>
      <c r="J37" s="47">
        <v>21.13</v>
      </c>
      <c r="K37" s="48"/>
      <c r="L37" s="47">
        <v>1361</v>
      </c>
      <c r="M37" s="47">
        <v>1361</v>
      </c>
      <c r="N37" s="47"/>
      <c r="O37" s="49">
        <f>64+0</f>
        <v>64</v>
      </c>
      <c r="P37" s="50" t="s">
        <v>38</v>
      </c>
      <c r="Q37" s="49">
        <f>1361+0</f>
        <v>1361</v>
      </c>
      <c r="R37" s="49">
        <v>64</v>
      </c>
      <c r="S37" s="49">
        <v>1361</v>
      </c>
      <c r="T37" s="50" t="s">
        <v>68</v>
      </c>
      <c r="U37" s="50" t="s">
        <v>69</v>
      </c>
      <c r="V37" s="49">
        <v>925</v>
      </c>
      <c r="W37" s="49">
        <v>422</v>
      </c>
      <c r="X37" s="50">
        <v>2708</v>
      </c>
      <c r="Y37" s="50">
        <v>51</v>
      </c>
      <c r="Z37" s="50">
        <v>24</v>
      </c>
      <c r="AA37" s="50">
        <v>61</v>
      </c>
      <c r="AB37" s="50">
        <v>31</v>
      </c>
      <c r="AC37" s="50" t="s">
        <v>41</v>
      </c>
      <c r="AD37" s="50" t="s">
        <v>41</v>
      </c>
      <c r="AE37" s="51">
        <v>1361</v>
      </c>
      <c r="AF37" s="51"/>
      <c r="AG37" s="51"/>
      <c r="AH37" s="51"/>
      <c r="AI37" s="49">
        <v>64</v>
      </c>
      <c r="AJ37" s="49"/>
      <c r="AK37" s="49"/>
      <c r="AL37" s="49"/>
      <c r="AM37" s="49">
        <v>1361</v>
      </c>
      <c r="AN37" s="49">
        <v>64</v>
      </c>
      <c r="AO37" s="52">
        <v>21.13</v>
      </c>
      <c r="AP37" s="52" t="s">
        <v>19</v>
      </c>
      <c r="AQ37" s="52" t="s">
        <v>19</v>
      </c>
      <c r="AR37" s="52" t="s">
        <v>19</v>
      </c>
      <c r="AS37" s="8"/>
    </row>
    <row r="38" spans="1:45" ht="89.25">
      <c r="A38" s="44">
        <v>7</v>
      </c>
      <c r="B38" s="45" t="s">
        <v>70</v>
      </c>
      <c r="C38" s="46">
        <v>0.0097</v>
      </c>
      <c r="D38" s="47">
        <v>663.75</v>
      </c>
      <c r="E38" s="47">
        <v>663.75</v>
      </c>
      <c r="F38" s="47"/>
      <c r="G38" s="47">
        <v>6</v>
      </c>
      <c r="H38" s="47">
        <v>6</v>
      </c>
      <c r="I38" s="47"/>
      <c r="J38" s="47">
        <v>21.13</v>
      </c>
      <c r="K38" s="48"/>
      <c r="L38" s="47">
        <v>136</v>
      </c>
      <c r="M38" s="47">
        <v>136</v>
      </c>
      <c r="N38" s="47"/>
      <c r="O38" s="49">
        <f>6+0</f>
        <v>6</v>
      </c>
      <c r="P38" s="50" t="s">
        <v>38</v>
      </c>
      <c r="Q38" s="49">
        <f>136+0</f>
        <v>136</v>
      </c>
      <c r="R38" s="49">
        <v>6</v>
      </c>
      <c r="S38" s="49">
        <v>136</v>
      </c>
      <c r="T38" s="50" t="s">
        <v>68</v>
      </c>
      <c r="U38" s="50" t="s">
        <v>69</v>
      </c>
      <c r="V38" s="49">
        <v>92</v>
      </c>
      <c r="W38" s="49">
        <v>42</v>
      </c>
      <c r="X38" s="50">
        <v>270</v>
      </c>
      <c r="Y38" s="50">
        <v>5</v>
      </c>
      <c r="Z38" s="50">
        <v>2</v>
      </c>
      <c r="AA38" s="50">
        <v>61</v>
      </c>
      <c r="AB38" s="50">
        <v>31</v>
      </c>
      <c r="AC38" s="50" t="s">
        <v>41</v>
      </c>
      <c r="AD38" s="50" t="s">
        <v>41</v>
      </c>
      <c r="AE38" s="51">
        <v>136</v>
      </c>
      <c r="AF38" s="51"/>
      <c r="AG38" s="51"/>
      <c r="AH38" s="51"/>
      <c r="AI38" s="49">
        <v>6</v>
      </c>
      <c r="AJ38" s="49"/>
      <c r="AK38" s="49"/>
      <c r="AL38" s="49"/>
      <c r="AM38" s="49">
        <v>136</v>
      </c>
      <c r="AN38" s="49">
        <v>6</v>
      </c>
      <c r="AO38" s="52">
        <v>21.13</v>
      </c>
      <c r="AP38" s="52" t="s">
        <v>19</v>
      </c>
      <c r="AQ38" s="52" t="s">
        <v>19</v>
      </c>
      <c r="AR38" s="52" t="s">
        <v>19</v>
      </c>
      <c r="AS38" s="8"/>
    </row>
    <row r="39" spans="1:45" ht="216.75">
      <c r="A39" s="44">
        <v>8</v>
      </c>
      <c r="B39" s="45" t="s">
        <v>71</v>
      </c>
      <c r="C39" s="46">
        <v>0.07</v>
      </c>
      <c r="D39" s="47">
        <v>1598.3</v>
      </c>
      <c r="E39" s="47" t="s">
        <v>72</v>
      </c>
      <c r="F39" s="47" t="s">
        <v>73</v>
      </c>
      <c r="G39" s="47">
        <v>112</v>
      </c>
      <c r="H39" s="47" t="s">
        <v>74</v>
      </c>
      <c r="I39" s="47" t="s">
        <v>75</v>
      </c>
      <c r="J39" s="47" t="s">
        <v>76</v>
      </c>
      <c r="K39" s="48" t="s">
        <v>77</v>
      </c>
      <c r="L39" s="47">
        <v>878</v>
      </c>
      <c r="M39" s="47" t="s">
        <v>78</v>
      </c>
      <c r="N39" s="47" t="s">
        <v>79</v>
      </c>
      <c r="O39" s="49">
        <f>9+9</f>
        <v>18</v>
      </c>
      <c r="P39" s="50" t="s">
        <v>38</v>
      </c>
      <c r="Q39" s="49">
        <f>186+173</f>
        <v>359</v>
      </c>
      <c r="R39" s="49">
        <v>112</v>
      </c>
      <c r="S39" s="49">
        <v>878</v>
      </c>
      <c r="T39" s="50" t="s">
        <v>80</v>
      </c>
      <c r="U39" s="50" t="s">
        <v>81</v>
      </c>
      <c r="V39" s="49">
        <v>434</v>
      </c>
      <c r="W39" s="49">
        <v>233</v>
      </c>
      <c r="X39" s="50">
        <v>1545</v>
      </c>
      <c r="Y39" s="50">
        <v>26</v>
      </c>
      <c r="Z39" s="50">
        <v>15</v>
      </c>
      <c r="AA39" s="50">
        <v>121</v>
      </c>
      <c r="AB39" s="50">
        <v>65</v>
      </c>
      <c r="AC39" s="50" t="s">
        <v>41</v>
      </c>
      <c r="AD39" s="50" t="s">
        <v>41</v>
      </c>
      <c r="AE39" s="51">
        <v>186</v>
      </c>
      <c r="AF39" s="51">
        <v>682</v>
      </c>
      <c r="AG39" s="51">
        <v>173</v>
      </c>
      <c r="AH39" s="51">
        <v>10</v>
      </c>
      <c r="AI39" s="49">
        <v>9</v>
      </c>
      <c r="AJ39" s="49">
        <v>102</v>
      </c>
      <c r="AK39" s="49">
        <v>9</v>
      </c>
      <c r="AL39" s="49">
        <v>1</v>
      </c>
      <c r="AM39" s="49">
        <v>878</v>
      </c>
      <c r="AN39" s="49">
        <v>112</v>
      </c>
      <c r="AO39" s="52">
        <v>21.13</v>
      </c>
      <c r="AP39" s="52">
        <v>6.695</v>
      </c>
      <c r="AQ39" s="52">
        <v>20.238</v>
      </c>
      <c r="AR39" s="52">
        <v>8.111</v>
      </c>
      <c r="AS39" s="8"/>
    </row>
    <row r="40" spans="1:45" ht="38.25">
      <c r="A40" s="44">
        <v>9</v>
      </c>
      <c r="B40" s="45" t="s">
        <v>82</v>
      </c>
      <c r="C40" s="46">
        <v>8.54</v>
      </c>
      <c r="D40" s="47">
        <v>60</v>
      </c>
      <c r="E40" s="47" t="s">
        <v>83</v>
      </c>
      <c r="F40" s="47"/>
      <c r="G40" s="47">
        <v>512</v>
      </c>
      <c r="H40" s="47" t="s">
        <v>84</v>
      </c>
      <c r="I40" s="47"/>
      <c r="J40" s="47" t="s">
        <v>85</v>
      </c>
      <c r="K40" s="48"/>
      <c r="L40" s="47">
        <v>6056</v>
      </c>
      <c r="M40" s="47" t="s">
        <v>86</v>
      </c>
      <c r="N40" s="47"/>
      <c r="O40" s="49">
        <f>0+0</f>
        <v>0</v>
      </c>
      <c r="P40" s="50" t="s">
        <v>87</v>
      </c>
      <c r="Q40" s="49">
        <f>0+0</f>
        <v>0</v>
      </c>
      <c r="R40" s="49">
        <v>512</v>
      </c>
      <c r="S40" s="49">
        <v>6056</v>
      </c>
      <c r="T40" s="50"/>
      <c r="U40" s="50"/>
      <c r="V40" s="49"/>
      <c r="W40" s="49"/>
      <c r="X40" s="50">
        <v>6056</v>
      </c>
      <c r="Y40" s="50"/>
      <c r="Z40" s="50"/>
      <c r="AA40" s="50">
        <v>121</v>
      </c>
      <c r="AB40" s="50">
        <v>65</v>
      </c>
      <c r="AC40" s="50" t="s">
        <v>41</v>
      </c>
      <c r="AD40" s="50" t="s">
        <v>41</v>
      </c>
      <c r="AE40" s="51"/>
      <c r="AF40" s="51"/>
      <c r="AG40" s="51"/>
      <c r="AH40" s="51">
        <v>6056</v>
      </c>
      <c r="AI40" s="49"/>
      <c r="AJ40" s="49"/>
      <c r="AK40" s="49"/>
      <c r="AL40" s="49">
        <v>512</v>
      </c>
      <c r="AM40" s="49">
        <v>6056</v>
      </c>
      <c r="AN40" s="49">
        <v>512</v>
      </c>
      <c r="AO40" s="52" t="s">
        <v>19</v>
      </c>
      <c r="AP40" s="52" t="s">
        <v>19</v>
      </c>
      <c r="AQ40" s="52" t="s">
        <v>19</v>
      </c>
      <c r="AR40" s="52">
        <v>11.818</v>
      </c>
      <c r="AS40" s="8"/>
    </row>
    <row r="41" spans="1:45" ht="89.25">
      <c r="A41" s="44">
        <v>10</v>
      </c>
      <c r="B41" s="45" t="s">
        <v>88</v>
      </c>
      <c r="C41" s="46">
        <v>1.9462</v>
      </c>
      <c r="D41" s="47">
        <v>4412.47</v>
      </c>
      <c r="E41" s="47" t="s">
        <v>89</v>
      </c>
      <c r="F41" s="47" t="s">
        <v>90</v>
      </c>
      <c r="G41" s="47">
        <v>8588</v>
      </c>
      <c r="H41" s="47" t="s">
        <v>91</v>
      </c>
      <c r="I41" s="47" t="s">
        <v>92</v>
      </c>
      <c r="J41" s="47" t="s">
        <v>93</v>
      </c>
      <c r="K41" s="48" t="s">
        <v>94</v>
      </c>
      <c r="L41" s="47">
        <v>64834</v>
      </c>
      <c r="M41" s="47" t="s">
        <v>95</v>
      </c>
      <c r="N41" s="47" t="s">
        <v>96</v>
      </c>
      <c r="O41" s="49">
        <f>1253+19</f>
        <v>1272</v>
      </c>
      <c r="P41" s="50" t="s">
        <v>38</v>
      </c>
      <c r="Q41" s="49">
        <f>26469+380</f>
        <v>26849</v>
      </c>
      <c r="R41" s="49">
        <v>8588</v>
      </c>
      <c r="S41" s="49">
        <v>64834</v>
      </c>
      <c r="T41" s="50" t="s">
        <v>80</v>
      </c>
      <c r="U41" s="50" t="s">
        <v>81</v>
      </c>
      <c r="V41" s="49">
        <v>32487</v>
      </c>
      <c r="W41" s="49">
        <v>17452</v>
      </c>
      <c r="X41" s="50">
        <v>114773</v>
      </c>
      <c r="Y41" s="50">
        <v>1806</v>
      </c>
      <c r="Z41" s="50">
        <v>1030</v>
      </c>
      <c r="AA41" s="50">
        <v>121</v>
      </c>
      <c r="AB41" s="50">
        <v>65</v>
      </c>
      <c r="AC41" s="50" t="s">
        <v>41</v>
      </c>
      <c r="AD41" s="50" t="s">
        <v>41</v>
      </c>
      <c r="AE41" s="51">
        <v>26469</v>
      </c>
      <c r="AF41" s="51">
        <v>1136</v>
      </c>
      <c r="AG41" s="51">
        <v>380</v>
      </c>
      <c r="AH41" s="51">
        <v>37229</v>
      </c>
      <c r="AI41" s="49">
        <v>1253</v>
      </c>
      <c r="AJ41" s="49">
        <v>153</v>
      </c>
      <c r="AK41" s="49">
        <v>19</v>
      </c>
      <c r="AL41" s="49">
        <v>7182</v>
      </c>
      <c r="AM41" s="49">
        <v>64834</v>
      </c>
      <c r="AN41" s="49">
        <v>8588</v>
      </c>
      <c r="AO41" s="52">
        <v>21.13</v>
      </c>
      <c r="AP41" s="52">
        <v>7.408</v>
      </c>
      <c r="AQ41" s="52">
        <v>20.232</v>
      </c>
      <c r="AR41" s="52">
        <v>5.184</v>
      </c>
      <c r="AS41" s="8"/>
    </row>
    <row r="42" spans="1:45" ht="38.25">
      <c r="A42" s="44">
        <v>11</v>
      </c>
      <c r="B42" s="45" t="s">
        <v>97</v>
      </c>
      <c r="C42" s="46">
        <v>-11.48258</v>
      </c>
      <c r="D42" s="47">
        <v>592.76</v>
      </c>
      <c r="E42" s="47" t="s">
        <v>98</v>
      </c>
      <c r="F42" s="47"/>
      <c r="G42" s="47">
        <v>-6806</v>
      </c>
      <c r="H42" s="47" t="s">
        <v>99</v>
      </c>
      <c r="I42" s="47"/>
      <c r="J42" s="47" t="s">
        <v>100</v>
      </c>
      <c r="K42" s="48"/>
      <c r="L42" s="47">
        <v>-36128</v>
      </c>
      <c r="M42" s="47" t="s">
        <v>101</v>
      </c>
      <c r="N42" s="47"/>
      <c r="O42" s="49">
        <f>0+0</f>
        <v>0</v>
      </c>
      <c r="P42" s="50" t="s">
        <v>87</v>
      </c>
      <c r="Q42" s="49">
        <f>0+0</f>
        <v>0</v>
      </c>
      <c r="R42" s="49">
        <v>-6806</v>
      </c>
      <c r="S42" s="49">
        <v>-36128</v>
      </c>
      <c r="T42" s="50"/>
      <c r="U42" s="50"/>
      <c r="V42" s="49"/>
      <c r="W42" s="49"/>
      <c r="X42" s="50">
        <v>-36128</v>
      </c>
      <c r="Y42" s="50"/>
      <c r="Z42" s="50"/>
      <c r="AA42" s="50">
        <v>0</v>
      </c>
      <c r="AB42" s="50">
        <v>0</v>
      </c>
      <c r="AC42" s="50" t="s">
        <v>41</v>
      </c>
      <c r="AD42" s="50" t="s">
        <v>41</v>
      </c>
      <c r="AE42" s="51"/>
      <c r="AF42" s="51"/>
      <c r="AG42" s="51"/>
      <c r="AH42" s="51">
        <v>-36128</v>
      </c>
      <c r="AI42" s="49"/>
      <c r="AJ42" s="49"/>
      <c r="AK42" s="49"/>
      <c r="AL42" s="49">
        <v>-6806</v>
      </c>
      <c r="AM42" s="49">
        <v>-36128</v>
      </c>
      <c r="AN42" s="49">
        <v>-6806</v>
      </c>
      <c r="AO42" s="52" t="s">
        <v>19</v>
      </c>
      <c r="AP42" s="52" t="s">
        <v>19</v>
      </c>
      <c r="AQ42" s="52" t="s">
        <v>19</v>
      </c>
      <c r="AR42" s="52">
        <v>5.308</v>
      </c>
      <c r="AS42" s="8"/>
    </row>
    <row r="43" spans="1:45" ht="38.25">
      <c r="A43" s="44">
        <v>12</v>
      </c>
      <c r="B43" s="45" t="s">
        <v>102</v>
      </c>
      <c r="C43" s="46">
        <v>10.9</v>
      </c>
      <c r="D43" s="47">
        <v>560</v>
      </c>
      <c r="E43" s="47" t="s">
        <v>103</v>
      </c>
      <c r="F43" s="47"/>
      <c r="G43" s="47">
        <v>6104</v>
      </c>
      <c r="H43" s="47" t="s">
        <v>104</v>
      </c>
      <c r="I43" s="47"/>
      <c r="J43" s="47" t="s">
        <v>105</v>
      </c>
      <c r="K43" s="48"/>
      <c r="L43" s="47">
        <v>29934</v>
      </c>
      <c r="M43" s="47" t="s">
        <v>106</v>
      </c>
      <c r="N43" s="47"/>
      <c r="O43" s="49">
        <f>0+0</f>
        <v>0</v>
      </c>
      <c r="P43" s="50" t="s">
        <v>87</v>
      </c>
      <c r="Q43" s="49">
        <f>0+0</f>
        <v>0</v>
      </c>
      <c r="R43" s="49">
        <v>6104</v>
      </c>
      <c r="S43" s="49">
        <v>29934</v>
      </c>
      <c r="T43" s="50"/>
      <c r="U43" s="50"/>
      <c r="V43" s="49"/>
      <c r="W43" s="49"/>
      <c r="X43" s="50">
        <v>29934</v>
      </c>
      <c r="Y43" s="50"/>
      <c r="Z43" s="50"/>
      <c r="AA43" s="50">
        <v>0</v>
      </c>
      <c r="AB43" s="50">
        <v>0</v>
      </c>
      <c r="AC43" s="50" t="s">
        <v>41</v>
      </c>
      <c r="AD43" s="50" t="s">
        <v>41</v>
      </c>
      <c r="AE43" s="51"/>
      <c r="AF43" s="51"/>
      <c r="AG43" s="51"/>
      <c r="AH43" s="51">
        <v>29934</v>
      </c>
      <c r="AI43" s="49"/>
      <c r="AJ43" s="49"/>
      <c r="AK43" s="49"/>
      <c r="AL43" s="49">
        <v>6104</v>
      </c>
      <c r="AM43" s="49">
        <v>29934</v>
      </c>
      <c r="AN43" s="49">
        <v>6104</v>
      </c>
      <c r="AO43" s="52" t="s">
        <v>19</v>
      </c>
      <c r="AP43" s="52" t="s">
        <v>19</v>
      </c>
      <c r="AQ43" s="52" t="s">
        <v>19</v>
      </c>
      <c r="AR43" s="52">
        <v>4.904</v>
      </c>
      <c r="AS43" s="8"/>
    </row>
    <row r="44" spans="1:45" ht="38.25">
      <c r="A44" s="44">
        <v>13</v>
      </c>
      <c r="B44" s="45" t="s">
        <v>107</v>
      </c>
      <c r="C44" s="46">
        <v>250</v>
      </c>
      <c r="D44" s="47">
        <v>33.26</v>
      </c>
      <c r="E44" s="47" t="s">
        <v>108</v>
      </c>
      <c r="F44" s="47"/>
      <c r="G44" s="47">
        <v>8315</v>
      </c>
      <c r="H44" s="47" t="s">
        <v>109</v>
      </c>
      <c r="I44" s="47"/>
      <c r="J44" s="47" t="s">
        <v>110</v>
      </c>
      <c r="K44" s="48"/>
      <c r="L44" s="47">
        <v>62030</v>
      </c>
      <c r="M44" s="47" t="s">
        <v>111</v>
      </c>
      <c r="N44" s="47"/>
      <c r="O44" s="49">
        <f>0+0</f>
        <v>0</v>
      </c>
      <c r="P44" s="50" t="s">
        <v>87</v>
      </c>
      <c r="Q44" s="49">
        <f>0+0</f>
        <v>0</v>
      </c>
      <c r="R44" s="49">
        <v>8315</v>
      </c>
      <c r="S44" s="49">
        <v>62030</v>
      </c>
      <c r="T44" s="50"/>
      <c r="U44" s="50"/>
      <c r="V44" s="49"/>
      <c r="W44" s="49"/>
      <c r="X44" s="50">
        <v>62030</v>
      </c>
      <c r="Y44" s="50"/>
      <c r="Z44" s="50"/>
      <c r="AA44" s="50">
        <v>0</v>
      </c>
      <c r="AB44" s="50">
        <v>0</v>
      </c>
      <c r="AC44" s="50" t="s">
        <v>41</v>
      </c>
      <c r="AD44" s="50" t="s">
        <v>41</v>
      </c>
      <c r="AE44" s="51"/>
      <c r="AF44" s="51"/>
      <c r="AG44" s="51"/>
      <c r="AH44" s="51">
        <v>62030</v>
      </c>
      <c r="AI44" s="49"/>
      <c r="AJ44" s="49"/>
      <c r="AK44" s="49"/>
      <c r="AL44" s="49">
        <v>8315</v>
      </c>
      <c r="AM44" s="49">
        <v>62030</v>
      </c>
      <c r="AN44" s="49">
        <v>8315</v>
      </c>
      <c r="AO44" s="52" t="s">
        <v>19</v>
      </c>
      <c r="AP44" s="52" t="s">
        <v>19</v>
      </c>
      <c r="AQ44" s="52" t="s">
        <v>19</v>
      </c>
      <c r="AR44" s="52">
        <v>7.46</v>
      </c>
      <c r="AS44" s="8"/>
    </row>
    <row r="45" spans="1:45" ht="76.5">
      <c r="A45" s="44">
        <v>14</v>
      </c>
      <c r="B45" s="45" t="s">
        <v>112</v>
      </c>
      <c r="C45" s="46">
        <v>0.1271</v>
      </c>
      <c r="D45" s="47">
        <v>39.1</v>
      </c>
      <c r="E45" s="47"/>
      <c r="F45" s="47" t="s">
        <v>113</v>
      </c>
      <c r="G45" s="47">
        <v>5</v>
      </c>
      <c r="H45" s="47"/>
      <c r="I45" s="47" t="s">
        <v>114</v>
      </c>
      <c r="J45" s="47">
        <v>21.13</v>
      </c>
      <c r="K45" s="48" t="s">
        <v>115</v>
      </c>
      <c r="L45" s="47">
        <v>41</v>
      </c>
      <c r="M45" s="47"/>
      <c r="N45" s="47" t="s">
        <v>116</v>
      </c>
      <c r="O45" s="49">
        <f>0+1</f>
        <v>1</v>
      </c>
      <c r="P45" s="50" t="s">
        <v>38</v>
      </c>
      <c r="Q45" s="49">
        <f>0+18</f>
        <v>18</v>
      </c>
      <c r="R45" s="49">
        <v>5</v>
      </c>
      <c r="S45" s="49">
        <v>41</v>
      </c>
      <c r="T45" s="50" t="s">
        <v>80</v>
      </c>
      <c r="U45" s="50" t="s">
        <v>81</v>
      </c>
      <c r="V45" s="49">
        <v>22</v>
      </c>
      <c r="W45" s="49">
        <v>12</v>
      </c>
      <c r="X45" s="50">
        <v>75</v>
      </c>
      <c r="Y45" s="50">
        <v>1</v>
      </c>
      <c r="Z45" s="50">
        <v>1</v>
      </c>
      <c r="AA45" s="50">
        <v>121</v>
      </c>
      <c r="AB45" s="50">
        <v>65</v>
      </c>
      <c r="AC45" s="50" t="s">
        <v>41</v>
      </c>
      <c r="AD45" s="50" t="s">
        <v>41</v>
      </c>
      <c r="AE45" s="51"/>
      <c r="AF45" s="51">
        <v>41</v>
      </c>
      <c r="AG45" s="51">
        <v>18</v>
      </c>
      <c r="AH45" s="51"/>
      <c r="AI45" s="49"/>
      <c r="AJ45" s="49">
        <v>5</v>
      </c>
      <c r="AK45" s="49">
        <v>1</v>
      </c>
      <c r="AL45" s="49"/>
      <c r="AM45" s="49">
        <v>41</v>
      </c>
      <c r="AN45" s="49">
        <v>5</v>
      </c>
      <c r="AO45" s="52">
        <v>21.13</v>
      </c>
      <c r="AP45" s="52">
        <v>8.151</v>
      </c>
      <c r="AQ45" s="52">
        <v>20.197</v>
      </c>
      <c r="AR45" s="52" t="s">
        <v>19</v>
      </c>
      <c r="AS45" s="8"/>
    </row>
    <row r="46" spans="1:45" ht="51">
      <c r="A46" s="44">
        <v>15</v>
      </c>
      <c r="B46" s="45" t="s">
        <v>117</v>
      </c>
      <c r="C46" s="46">
        <v>0.131</v>
      </c>
      <c r="D46" s="47">
        <v>1487.6</v>
      </c>
      <c r="E46" s="47" t="s">
        <v>118</v>
      </c>
      <c r="F46" s="47"/>
      <c r="G46" s="47">
        <v>195</v>
      </c>
      <c r="H46" s="47" t="s">
        <v>119</v>
      </c>
      <c r="I46" s="47"/>
      <c r="J46" s="47" t="s">
        <v>120</v>
      </c>
      <c r="K46" s="48"/>
      <c r="L46" s="47">
        <v>2251</v>
      </c>
      <c r="M46" s="47" t="s">
        <v>121</v>
      </c>
      <c r="N46" s="47"/>
      <c r="O46" s="49">
        <f>0+0</f>
        <v>0</v>
      </c>
      <c r="P46" s="50" t="s">
        <v>87</v>
      </c>
      <c r="Q46" s="49">
        <f>0+0</f>
        <v>0</v>
      </c>
      <c r="R46" s="49">
        <v>195</v>
      </c>
      <c r="S46" s="49">
        <v>2251</v>
      </c>
      <c r="T46" s="50"/>
      <c r="U46" s="50"/>
      <c r="V46" s="49"/>
      <c r="W46" s="49"/>
      <c r="X46" s="50">
        <v>2251</v>
      </c>
      <c r="Y46" s="50"/>
      <c r="Z46" s="50"/>
      <c r="AA46" s="50">
        <v>0</v>
      </c>
      <c r="AB46" s="50">
        <v>0</v>
      </c>
      <c r="AC46" s="50" t="s">
        <v>41</v>
      </c>
      <c r="AD46" s="50" t="s">
        <v>41</v>
      </c>
      <c r="AE46" s="51"/>
      <c r="AF46" s="51"/>
      <c r="AG46" s="51"/>
      <c r="AH46" s="51">
        <v>2251</v>
      </c>
      <c r="AI46" s="49"/>
      <c r="AJ46" s="49"/>
      <c r="AK46" s="49"/>
      <c r="AL46" s="49">
        <v>195</v>
      </c>
      <c r="AM46" s="49">
        <v>2251</v>
      </c>
      <c r="AN46" s="49">
        <v>195</v>
      </c>
      <c r="AO46" s="52" t="s">
        <v>19</v>
      </c>
      <c r="AP46" s="52" t="s">
        <v>19</v>
      </c>
      <c r="AQ46" s="52" t="s">
        <v>19</v>
      </c>
      <c r="AR46" s="52">
        <v>11.549</v>
      </c>
      <c r="AS46" s="8"/>
    </row>
    <row r="47" spans="1:45" ht="204">
      <c r="A47" s="44">
        <v>16</v>
      </c>
      <c r="B47" s="45" t="s">
        <v>122</v>
      </c>
      <c r="C47" s="46">
        <v>0.0045</v>
      </c>
      <c r="D47" s="47">
        <v>1531.69</v>
      </c>
      <c r="E47" s="47" t="s">
        <v>123</v>
      </c>
      <c r="F47" s="47" t="s">
        <v>124</v>
      </c>
      <c r="G47" s="47">
        <v>7</v>
      </c>
      <c r="H47" s="47">
        <v>1</v>
      </c>
      <c r="I47" s="47" t="s">
        <v>125</v>
      </c>
      <c r="J47" s="47" t="s">
        <v>76</v>
      </c>
      <c r="K47" s="48" t="s">
        <v>126</v>
      </c>
      <c r="L47" s="47">
        <v>54</v>
      </c>
      <c r="M47" s="47">
        <v>12</v>
      </c>
      <c r="N47" s="47" t="s">
        <v>127</v>
      </c>
      <c r="O47" s="49">
        <f>1+1</f>
        <v>2</v>
      </c>
      <c r="P47" s="50" t="s">
        <v>38</v>
      </c>
      <c r="Q47" s="49">
        <f>12+11</f>
        <v>23</v>
      </c>
      <c r="R47" s="49">
        <v>7</v>
      </c>
      <c r="S47" s="49">
        <v>54</v>
      </c>
      <c r="T47" s="50" t="s">
        <v>80</v>
      </c>
      <c r="U47" s="50" t="s">
        <v>81</v>
      </c>
      <c r="V47" s="49">
        <v>28</v>
      </c>
      <c r="W47" s="49">
        <v>15</v>
      </c>
      <c r="X47" s="50">
        <v>97</v>
      </c>
      <c r="Y47" s="50">
        <v>3</v>
      </c>
      <c r="Z47" s="50">
        <v>2</v>
      </c>
      <c r="AA47" s="50">
        <v>121</v>
      </c>
      <c r="AB47" s="50">
        <v>65</v>
      </c>
      <c r="AC47" s="50" t="s">
        <v>41</v>
      </c>
      <c r="AD47" s="50" t="s">
        <v>41</v>
      </c>
      <c r="AE47" s="51">
        <v>12</v>
      </c>
      <c r="AF47" s="51">
        <v>42</v>
      </c>
      <c r="AG47" s="51">
        <v>11</v>
      </c>
      <c r="AH47" s="51"/>
      <c r="AI47" s="49">
        <v>1</v>
      </c>
      <c r="AJ47" s="49">
        <v>6</v>
      </c>
      <c r="AK47" s="49">
        <v>1</v>
      </c>
      <c r="AL47" s="49"/>
      <c r="AM47" s="49">
        <v>54</v>
      </c>
      <c r="AN47" s="49">
        <v>7</v>
      </c>
      <c r="AO47" s="52">
        <v>21.13</v>
      </c>
      <c r="AP47" s="52">
        <v>6.649</v>
      </c>
      <c r="AQ47" s="52">
        <v>20.239</v>
      </c>
      <c r="AR47" s="52">
        <v>8.111</v>
      </c>
      <c r="AS47" s="8"/>
    </row>
    <row r="48" spans="1:45" ht="51">
      <c r="A48" s="44">
        <v>17</v>
      </c>
      <c r="B48" s="45" t="s">
        <v>128</v>
      </c>
      <c r="C48" s="46">
        <v>0.495</v>
      </c>
      <c r="D48" s="47">
        <v>55.26</v>
      </c>
      <c r="E48" s="47" t="s">
        <v>129</v>
      </c>
      <c r="F48" s="47"/>
      <c r="G48" s="47">
        <v>27</v>
      </c>
      <c r="H48" s="47" t="s">
        <v>130</v>
      </c>
      <c r="I48" s="47"/>
      <c r="J48" s="47" t="s">
        <v>131</v>
      </c>
      <c r="K48" s="48"/>
      <c r="L48" s="47">
        <v>266</v>
      </c>
      <c r="M48" s="47" t="s">
        <v>132</v>
      </c>
      <c r="N48" s="47"/>
      <c r="O48" s="49">
        <f>0+0</f>
        <v>0</v>
      </c>
      <c r="P48" s="50" t="s">
        <v>87</v>
      </c>
      <c r="Q48" s="49">
        <f>0+0</f>
        <v>0</v>
      </c>
      <c r="R48" s="49">
        <v>27</v>
      </c>
      <c r="S48" s="49">
        <v>266</v>
      </c>
      <c r="T48" s="50"/>
      <c r="U48" s="50"/>
      <c r="V48" s="49"/>
      <c r="W48" s="49"/>
      <c r="X48" s="50">
        <v>266</v>
      </c>
      <c r="Y48" s="50"/>
      <c r="Z48" s="50"/>
      <c r="AA48" s="50">
        <v>121</v>
      </c>
      <c r="AB48" s="50">
        <v>65</v>
      </c>
      <c r="AC48" s="50" t="s">
        <v>41</v>
      </c>
      <c r="AD48" s="50" t="s">
        <v>41</v>
      </c>
      <c r="AE48" s="51"/>
      <c r="AF48" s="51"/>
      <c r="AG48" s="51"/>
      <c r="AH48" s="51">
        <v>266</v>
      </c>
      <c r="AI48" s="49"/>
      <c r="AJ48" s="49"/>
      <c r="AK48" s="49"/>
      <c r="AL48" s="49">
        <v>27</v>
      </c>
      <c r="AM48" s="49">
        <v>266</v>
      </c>
      <c r="AN48" s="49">
        <v>27</v>
      </c>
      <c r="AO48" s="52" t="s">
        <v>19</v>
      </c>
      <c r="AP48" s="52" t="s">
        <v>19</v>
      </c>
      <c r="AQ48" s="52" t="s">
        <v>19</v>
      </c>
      <c r="AR48" s="52">
        <v>9.721</v>
      </c>
      <c r="AS48" s="8"/>
    </row>
    <row r="49" spans="1:45" ht="204">
      <c r="A49" s="44">
        <v>18</v>
      </c>
      <c r="B49" s="45" t="s">
        <v>133</v>
      </c>
      <c r="C49" s="46">
        <v>0.009</v>
      </c>
      <c r="D49" s="47">
        <v>2383.03</v>
      </c>
      <c r="E49" s="47" t="s">
        <v>134</v>
      </c>
      <c r="F49" s="47" t="s">
        <v>135</v>
      </c>
      <c r="G49" s="47">
        <v>22</v>
      </c>
      <c r="H49" s="47">
        <v>2</v>
      </c>
      <c r="I49" s="47" t="s">
        <v>136</v>
      </c>
      <c r="J49" s="47" t="s">
        <v>76</v>
      </c>
      <c r="K49" s="48" t="s">
        <v>137</v>
      </c>
      <c r="L49" s="47">
        <v>169</v>
      </c>
      <c r="M49" s="47" t="s">
        <v>138</v>
      </c>
      <c r="N49" s="47" t="s">
        <v>139</v>
      </c>
      <c r="O49" s="49">
        <f>2+2</f>
        <v>4</v>
      </c>
      <c r="P49" s="50" t="s">
        <v>38</v>
      </c>
      <c r="Q49" s="49">
        <f>37+33</f>
        <v>70</v>
      </c>
      <c r="R49" s="49">
        <v>22</v>
      </c>
      <c r="S49" s="49">
        <v>169</v>
      </c>
      <c r="T49" s="50" t="s">
        <v>80</v>
      </c>
      <c r="U49" s="50" t="s">
        <v>81</v>
      </c>
      <c r="V49" s="49">
        <v>85</v>
      </c>
      <c r="W49" s="49">
        <v>46</v>
      </c>
      <c r="X49" s="50">
        <v>300</v>
      </c>
      <c r="Y49" s="50">
        <v>6</v>
      </c>
      <c r="Z49" s="50">
        <v>3</v>
      </c>
      <c r="AA49" s="50">
        <v>121</v>
      </c>
      <c r="AB49" s="50">
        <v>65</v>
      </c>
      <c r="AC49" s="50" t="s">
        <v>41</v>
      </c>
      <c r="AD49" s="50" t="s">
        <v>41</v>
      </c>
      <c r="AE49" s="51">
        <v>37</v>
      </c>
      <c r="AF49" s="51">
        <v>131</v>
      </c>
      <c r="AG49" s="51">
        <v>33</v>
      </c>
      <c r="AH49" s="51">
        <v>1</v>
      </c>
      <c r="AI49" s="49">
        <v>2</v>
      </c>
      <c r="AJ49" s="49">
        <v>20</v>
      </c>
      <c r="AK49" s="49">
        <v>2</v>
      </c>
      <c r="AL49" s="49"/>
      <c r="AM49" s="49">
        <v>169</v>
      </c>
      <c r="AN49" s="49">
        <v>22</v>
      </c>
      <c r="AO49" s="52">
        <v>21.13</v>
      </c>
      <c r="AP49" s="52">
        <v>6.729</v>
      </c>
      <c r="AQ49" s="52">
        <v>20.244</v>
      </c>
      <c r="AR49" s="52">
        <v>8.111</v>
      </c>
      <c r="AS49" s="8"/>
    </row>
    <row r="50" spans="1:45" ht="51">
      <c r="A50" s="44">
        <v>19</v>
      </c>
      <c r="B50" s="45" t="s">
        <v>140</v>
      </c>
      <c r="C50" s="46">
        <v>1.134</v>
      </c>
      <c r="D50" s="47">
        <v>98.6</v>
      </c>
      <c r="E50" s="47" t="s">
        <v>141</v>
      </c>
      <c r="F50" s="47"/>
      <c r="G50" s="47">
        <v>112</v>
      </c>
      <c r="H50" s="47" t="s">
        <v>142</v>
      </c>
      <c r="I50" s="47"/>
      <c r="J50" s="47" t="s">
        <v>143</v>
      </c>
      <c r="K50" s="48"/>
      <c r="L50" s="47">
        <v>684</v>
      </c>
      <c r="M50" s="47" t="s">
        <v>144</v>
      </c>
      <c r="N50" s="47"/>
      <c r="O50" s="49">
        <f>0+0</f>
        <v>0</v>
      </c>
      <c r="P50" s="50" t="s">
        <v>87</v>
      </c>
      <c r="Q50" s="49">
        <f>0+0</f>
        <v>0</v>
      </c>
      <c r="R50" s="49">
        <v>112</v>
      </c>
      <c r="S50" s="49">
        <v>684</v>
      </c>
      <c r="T50" s="50"/>
      <c r="U50" s="50"/>
      <c r="V50" s="49"/>
      <c r="W50" s="49"/>
      <c r="X50" s="50">
        <v>684</v>
      </c>
      <c r="Y50" s="50"/>
      <c r="Z50" s="50"/>
      <c r="AA50" s="50">
        <v>121</v>
      </c>
      <c r="AB50" s="50">
        <v>65</v>
      </c>
      <c r="AC50" s="50" t="s">
        <v>41</v>
      </c>
      <c r="AD50" s="50" t="s">
        <v>41</v>
      </c>
      <c r="AE50" s="51"/>
      <c r="AF50" s="51"/>
      <c r="AG50" s="51"/>
      <c r="AH50" s="51">
        <v>684</v>
      </c>
      <c r="AI50" s="49"/>
      <c r="AJ50" s="49"/>
      <c r="AK50" s="49"/>
      <c r="AL50" s="49">
        <v>112</v>
      </c>
      <c r="AM50" s="49">
        <v>684</v>
      </c>
      <c r="AN50" s="49">
        <v>112</v>
      </c>
      <c r="AO50" s="52" t="s">
        <v>19</v>
      </c>
      <c r="AP50" s="52" t="s">
        <v>19</v>
      </c>
      <c r="AQ50" s="52" t="s">
        <v>19</v>
      </c>
      <c r="AR50" s="52">
        <v>6.116</v>
      </c>
      <c r="AS50" s="8"/>
    </row>
    <row r="51" spans="1:45" ht="102">
      <c r="A51" s="44">
        <v>20</v>
      </c>
      <c r="B51" s="45" t="s">
        <v>145</v>
      </c>
      <c r="C51" s="46">
        <v>0.7435</v>
      </c>
      <c r="D51" s="47">
        <v>50446.55</v>
      </c>
      <c r="E51" s="47" t="s">
        <v>146</v>
      </c>
      <c r="F51" s="47" t="s">
        <v>147</v>
      </c>
      <c r="G51" s="47">
        <v>37507</v>
      </c>
      <c r="H51" s="47" t="s">
        <v>148</v>
      </c>
      <c r="I51" s="47" t="s">
        <v>149</v>
      </c>
      <c r="J51" s="47" t="s">
        <v>150</v>
      </c>
      <c r="K51" s="48" t="s">
        <v>151</v>
      </c>
      <c r="L51" s="47">
        <v>251980</v>
      </c>
      <c r="M51" s="47" t="s">
        <v>152</v>
      </c>
      <c r="N51" s="47" t="s">
        <v>153</v>
      </c>
      <c r="O51" s="49">
        <f>218+306</f>
        <v>524</v>
      </c>
      <c r="P51" s="50" t="s">
        <v>38</v>
      </c>
      <c r="Q51" s="49">
        <f>4598+6205</f>
        <v>10803</v>
      </c>
      <c r="R51" s="49">
        <v>37507</v>
      </c>
      <c r="S51" s="49">
        <v>251980</v>
      </c>
      <c r="T51" s="50" t="s">
        <v>39</v>
      </c>
      <c r="U51" s="50" t="s">
        <v>40</v>
      </c>
      <c r="V51" s="49">
        <v>9507</v>
      </c>
      <c r="W51" s="49">
        <v>5185</v>
      </c>
      <c r="X51" s="50">
        <v>266672</v>
      </c>
      <c r="Y51" s="50">
        <v>545</v>
      </c>
      <c r="Z51" s="50">
        <v>314</v>
      </c>
      <c r="AA51" s="50">
        <v>88</v>
      </c>
      <c r="AB51" s="50">
        <v>48</v>
      </c>
      <c r="AC51" s="50" t="s">
        <v>41</v>
      </c>
      <c r="AD51" s="50" t="s">
        <v>41</v>
      </c>
      <c r="AE51" s="51">
        <v>4598</v>
      </c>
      <c r="AF51" s="51">
        <v>18688</v>
      </c>
      <c r="AG51" s="51">
        <v>6205</v>
      </c>
      <c r="AH51" s="51">
        <v>228694</v>
      </c>
      <c r="AI51" s="49">
        <v>218</v>
      </c>
      <c r="AJ51" s="49">
        <v>2743</v>
      </c>
      <c r="AK51" s="49">
        <v>306</v>
      </c>
      <c r="AL51" s="49">
        <v>34546</v>
      </c>
      <c r="AM51" s="49">
        <v>251980</v>
      </c>
      <c r="AN51" s="49">
        <v>37507</v>
      </c>
      <c r="AO51" s="52">
        <v>21.13</v>
      </c>
      <c r="AP51" s="52">
        <v>6.812</v>
      </c>
      <c r="AQ51" s="52">
        <v>20.248</v>
      </c>
      <c r="AR51" s="52">
        <v>6.62</v>
      </c>
      <c r="AS51" s="8"/>
    </row>
    <row r="52" spans="1:45" ht="76.5">
      <c r="A52" s="44">
        <v>21</v>
      </c>
      <c r="B52" s="45" t="s">
        <v>154</v>
      </c>
      <c r="C52" s="46">
        <v>-75.0935</v>
      </c>
      <c r="D52" s="47">
        <v>459.91</v>
      </c>
      <c r="E52" s="47" t="s">
        <v>155</v>
      </c>
      <c r="F52" s="47"/>
      <c r="G52" s="47">
        <v>-34536</v>
      </c>
      <c r="H52" s="47" t="s">
        <v>156</v>
      </c>
      <c r="I52" s="47"/>
      <c r="J52" s="47" t="s">
        <v>157</v>
      </c>
      <c r="K52" s="48"/>
      <c r="L52" s="47">
        <v>-228526</v>
      </c>
      <c r="M52" s="47" t="s">
        <v>158</v>
      </c>
      <c r="N52" s="47"/>
      <c r="O52" s="49">
        <f>0+0</f>
        <v>0</v>
      </c>
      <c r="P52" s="50" t="s">
        <v>87</v>
      </c>
      <c r="Q52" s="49">
        <f>0+0</f>
        <v>0</v>
      </c>
      <c r="R52" s="49">
        <v>-34536</v>
      </c>
      <c r="S52" s="49">
        <v>-228526</v>
      </c>
      <c r="T52" s="50"/>
      <c r="U52" s="50"/>
      <c r="V52" s="49"/>
      <c r="W52" s="49"/>
      <c r="X52" s="50">
        <v>-228526</v>
      </c>
      <c r="Y52" s="50"/>
      <c r="Z52" s="50"/>
      <c r="AA52" s="50">
        <v>0</v>
      </c>
      <c r="AB52" s="50">
        <v>0</v>
      </c>
      <c r="AC52" s="50" t="s">
        <v>41</v>
      </c>
      <c r="AD52" s="50" t="s">
        <v>41</v>
      </c>
      <c r="AE52" s="51"/>
      <c r="AF52" s="51"/>
      <c r="AG52" s="51"/>
      <c r="AH52" s="51">
        <v>-228526</v>
      </c>
      <c r="AI52" s="49"/>
      <c r="AJ52" s="49"/>
      <c r="AK52" s="49"/>
      <c r="AL52" s="49">
        <v>-34536</v>
      </c>
      <c r="AM52" s="49">
        <v>-228526</v>
      </c>
      <c r="AN52" s="49">
        <v>-34536</v>
      </c>
      <c r="AO52" s="52" t="s">
        <v>19</v>
      </c>
      <c r="AP52" s="52" t="s">
        <v>19</v>
      </c>
      <c r="AQ52" s="52" t="s">
        <v>19</v>
      </c>
      <c r="AR52" s="52">
        <v>6.617</v>
      </c>
      <c r="AS52" s="8"/>
    </row>
    <row r="53" spans="1:45" ht="76.5">
      <c r="A53" s="44">
        <v>22</v>
      </c>
      <c r="B53" s="45" t="s">
        <v>159</v>
      </c>
      <c r="C53" s="46">
        <v>75.0935</v>
      </c>
      <c r="D53" s="47">
        <v>512.4</v>
      </c>
      <c r="E53" s="47" t="s">
        <v>160</v>
      </c>
      <c r="F53" s="47"/>
      <c r="G53" s="47">
        <v>38478</v>
      </c>
      <c r="H53" s="47" t="s">
        <v>161</v>
      </c>
      <c r="I53" s="47"/>
      <c r="J53" s="47" t="s">
        <v>162</v>
      </c>
      <c r="K53" s="48"/>
      <c r="L53" s="47">
        <v>250760</v>
      </c>
      <c r="M53" s="47" t="s">
        <v>163</v>
      </c>
      <c r="N53" s="47"/>
      <c r="O53" s="49">
        <f>0+0</f>
        <v>0</v>
      </c>
      <c r="P53" s="50" t="s">
        <v>87</v>
      </c>
      <c r="Q53" s="49">
        <f>0+0</f>
        <v>0</v>
      </c>
      <c r="R53" s="49">
        <v>38478</v>
      </c>
      <c r="S53" s="49">
        <v>250760</v>
      </c>
      <c r="T53" s="50"/>
      <c r="U53" s="50"/>
      <c r="V53" s="49"/>
      <c r="W53" s="49"/>
      <c r="X53" s="50">
        <v>250760</v>
      </c>
      <c r="Y53" s="50"/>
      <c r="Z53" s="50"/>
      <c r="AA53" s="50">
        <v>0</v>
      </c>
      <c r="AB53" s="50">
        <v>0</v>
      </c>
      <c r="AC53" s="50" t="s">
        <v>41</v>
      </c>
      <c r="AD53" s="50" t="s">
        <v>41</v>
      </c>
      <c r="AE53" s="51"/>
      <c r="AF53" s="51"/>
      <c r="AG53" s="51"/>
      <c r="AH53" s="51">
        <v>250760</v>
      </c>
      <c r="AI53" s="49"/>
      <c r="AJ53" s="49"/>
      <c r="AK53" s="49"/>
      <c r="AL53" s="49">
        <v>38478</v>
      </c>
      <c r="AM53" s="49">
        <v>250760</v>
      </c>
      <c r="AN53" s="49">
        <v>38478</v>
      </c>
      <c r="AO53" s="52" t="s">
        <v>19</v>
      </c>
      <c r="AP53" s="52" t="s">
        <v>19</v>
      </c>
      <c r="AQ53" s="52" t="s">
        <v>19</v>
      </c>
      <c r="AR53" s="52">
        <v>6.517</v>
      </c>
      <c r="AS53" s="8"/>
    </row>
    <row r="54" spans="1:45" ht="17.25" customHeight="1">
      <c r="A54" s="93" t="s">
        <v>164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8"/>
    </row>
    <row r="55" spans="1:45" ht="102">
      <c r="A55" s="44">
        <v>23</v>
      </c>
      <c r="B55" s="45" t="s">
        <v>165</v>
      </c>
      <c r="C55" s="46">
        <v>0.001</v>
      </c>
      <c r="D55" s="47">
        <v>2184</v>
      </c>
      <c r="E55" s="47">
        <v>2184</v>
      </c>
      <c r="F55" s="47"/>
      <c r="G55" s="47">
        <v>2</v>
      </c>
      <c r="H55" s="47">
        <v>2</v>
      </c>
      <c r="I55" s="47"/>
      <c r="J55" s="47">
        <v>21.13</v>
      </c>
      <c r="K55" s="48"/>
      <c r="L55" s="47">
        <v>46</v>
      </c>
      <c r="M55" s="47">
        <v>46</v>
      </c>
      <c r="N55" s="47"/>
      <c r="O55" s="49">
        <f>2+0</f>
        <v>2</v>
      </c>
      <c r="P55" s="50" t="s">
        <v>38</v>
      </c>
      <c r="Q55" s="49">
        <f>46+0</f>
        <v>46</v>
      </c>
      <c r="R55" s="49">
        <v>2</v>
      </c>
      <c r="S55" s="49">
        <v>46</v>
      </c>
      <c r="T55" s="50" t="s">
        <v>68</v>
      </c>
      <c r="U55" s="50" t="s">
        <v>69</v>
      </c>
      <c r="V55" s="49">
        <v>31</v>
      </c>
      <c r="W55" s="49">
        <v>14</v>
      </c>
      <c r="X55" s="50">
        <v>91</v>
      </c>
      <c r="Y55" s="50">
        <v>2</v>
      </c>
      <c r="Z55" s="50">
        <v>1</v>
      </c>
      <c r="AA55" s="50">
        <v>61</v>
      </c>
      <c r="AB55" s="50">
        <v>31</v>
      </c>
      <c r="AC55" s="50" t="s">
        <v>41</v>
      </c>
      <c r="AD55" s="50" t="s">
        <v>41</v>
      </c>
      <c r="AE55" s="51">
        <v>46</v>
      </c>
      <c r="AF55" s="51"/>
      <c r="AG55" s="51"/>
      <c r="AH55" s="51"/>
      <c r="AI55" s="49">
        <v>2</v>
      </c>
      <c r="AJ55" s="49"/>
      <c r="AK55" s="49"/>
      <c r="AL55" s="49"/>
      <c r="AM55" s="49">
        <v>46</v>
      </c>
      <c r="AN55" s="49">
        <v>2</v>
      </c>
      <c r="AO55" s="52">
        <v>21.13</v>
      </c>
      <c r="AP55" s="52" t="s">
        <v>19</v>
      </c>
      <c r="AQ55" s="52" t="s">
        <v>19</v>
      </c>
      <c r="AR55" s="52" t="s">
        <v>19</v>
      </c>
      <c r="AS55" s="8"/>
    </row>
    <row r="56" spans="1:45" ht="76.5">
      <c r="A56" s="44">
        <v>24</v>
      </c>
      <c r="B56" s="45" t="s">
        <v>166</v>
      </c>
      <c r="C56" s="46">
        <v>0.001</v>
      </c>
      <c r="D56" s="47">
        <v>3897.23</v>
      </c>
      <c r="E56" s="47" t="s">
        <v>167</v>
      </c>
      <c r="F56" s="47" t="s">
        <v>168</v>
      </c>
      <c r="G56" s="47">
        <v>4</v>
      </c>
      <c r="H56" s="47" t="s">
        <v>169</v>
      </c>
      <c r="I56" s="47">
        <v>2</v>
      </c>
      <c r="J56" s="47" t="s">
        <v>170</v>
      </c>
      <c r="K56" s="48" t="s">
        <v>171</v>
      </c>
      <c r="L56" s="47">
        <v>48</v>
      </c>
      <c r="M56" s="47" t="s">
        <v>172</v>
      </c>
      <c r="N56" s="47" t="s">
        <v>173</v>
      </c>
      <c r="O56" s="49">
        <f>1+0</f>
        <v>1</v>
      </c>
      <c r="P56" s="50" t="s">
        <v>38</v>
      </c>
      <c r="Q56" s="49">
        <f>30+5</f>
        <v>35</v>
      </c>
      <c r="R56" s="49">
        <v>4</v>
      </c>
      <c r="S56" s="49">
        <v>48</v>
      </c>
      <c r="T56" s="50" t="s">
        <v>174</v>
      </c>
      <c r="U56" s="50" t="s">
        <v>175</v>
      </c>
      <c r="V56" s="49">
        <v>31</v>
      </c>
      <c r="W56" s="49">
        <v>15</v>
      </c>
      <c r="X56" s="50">
        <v>94</v>
      </c>
      <c r="Y56" s="50">
        <v>1</v>
      </c>
      <c r="Z56" s="50">
        <v>1</v>
      </c>
      <c r="AA56" s="50">
        <v>80</v>
      </c>
      <c r="AB56" s="50">
        <v>44</v>
      </c>
      <c r="AC56" s="50" t="s">
        <v>41</v>
      </c>
      <c r="AD56" s="50" t="s">
        <v>41</v>
      </c>
      <c r="AE56" s="51">
        <v>30</v>
      </c>
      <c r="AF56" s="51">
        <v>11</v>
      </c>
      <c r="AG56" s="51">
        <v>5</v>
      </c>
      <c r="AH56" s="51">
        <v>7</v>
      </c>
      <c r="AI56" s="49">
        <v>1</v>
      </c>
      <c r="AJ56" s="49">
        <v>2</v>
      </c>
      <c r="AK56" s="49"/>
      <c r="AL56" s="49">
        <v>1</v>
      </c>
      <c r="AM56" s="49">
        <v>48</v>
      </c>
      <c r="AN56" s="49">
        <v>4</v>
      </c>
      <c r="AO56" s="52">
        <v>21.13</v>
      </c>
      <c r="AP56" s="52">
        <v>7.097</v>
      </c>
      <c r="AQ56" s="52">
        <v>20.225</v>
      </c>
      <c r="AR56" s="52">
        <v>7.522</v>
      </c>
      <c r="AS56" s="8"/>
    </row>
    <row r="57" spans="1:45" ht="38.25">
      <c r="A57" s="44">
        <v>25</v>
      </c>
      <c r="B57" s="45" t="s">
        <v>102</v>
      </c>
      <c r="C57" s="46">
        <v>1.02</v>
      </c>
      <c r="D57" s="47">
        <v>560</v>
      </c>
      <c r="E57" s="47" t="s">
        <v>103</v>
      </c>
      <c r="F57" s="47"/>
      <c r="G57" s="47">
        <v>571</v>
      </c>
      <c r="H57" s="47" t="s">
        <v>176</v>
      </c>
      <c r="I57" s="47"/>
      <c r="J57" s="47" t="s">
        <v>105</v>
      </c>
      <c r="K57" s="48"/>
      <c r="L57" s="47">
        <v>2801</v>
      </c>
      <c r="M57" s="47" t="s">
        <v>177</v>
      </c>
      <c r="N57" s="47"/>
      <c r="O57" s="49">
        <f>0+0</f>
        <v>0</v>
      </c>
      <c r="P57" s="50" t="s">
        <v>87</v>
      </c>
      <c r="Q57" s="49">
        <f>0+0</f>
        <v>0</v>
      </c>
      <c r="R57" s="49">
        <v>571</v>
      </c>
      <c r="S57" s="49">
        <v>2801</v>
      </c>
      <c r="T57" s="50"/>
      <c r="U57" s="50"/>
      <c r="V57" s="49"/>
      <c r="W57" s="49"/>
      <c r="X57" s="50">
        <v>2801</v>
      </c>
      <c r="Y57" s="50"/>
      <c r="Z57" s="50"/>
      <c r="AA57" s="50">
        <v>80</v>
      </c>
      <c r="AB57" s="50">
        <v>44</v>
      </c>
      <c r="AC57" s="50" t="s">
        <v>41</v>
      </c>
      <c r="AD57" s="50" t="s">
        <v>41</v>
      </c>
      <c r="AE57" s="51"/>
      <c r="AF57" s="51"/>
      <c r="AG57" s="51"/>
      <c r="AH57" s="51">
        <v>2801</v>
      </c>
      <c r="AI57" s="49"/>
      <c r="AJ57" s="49"/>
      <c r="AK57" s="49"/>
      <c r="AL57" s="49">
        <v>571</v>
      </c>
      <c r="AM57" s="49">
        <v>2801</v>
      </c>
      <c r="AN57" s="49">
        <v>571</v>
      </c>
      <c r="AO57" s="52" t="s">
        <v>19</v>
      </c>
      <c r="AP57" s="52" t="s">
        <v>19</v>
      </c>
      <c r="AQ57" s="52" t="s">
        <v>19</v>
      </c>
      <c r="AR57" s="52">
        <v>4.904</v>
      </c>
      <c r="AS57" s="8"/>
    </row>
    <row r="58" spans="1:45" ht="102">
      <c r="A58" s="44">
        <v>26</v>
      </c>
      <c r="B58" s="45" t="s">
        <v>178</v>
      </c>
      <c r="C58" s="46">
        <v>0.03</v>
      </c>
      <c r="D58" s="47">
        <v>958.14</v>
      </c>
      <c r="E58" s="47" t="s">
        <v>179</v>
      </c>
      <c r="F58" s="47" t="s">
        <v>180</v>
      </c>
      <c r="G58" s="47">
        <v>28</v>
      </c>
      <c r="H58" s="47" t="s">
        <v>181</v>
      </c>
      <c r="I58" s="47" t="s">
        <v>181</v>
      </c>
      <c r="J58" s="47" t="s">
        <v>182</v>
      </c>
      <c r="K58" s="48" t="s">
        <v>183</v>
      </c>
      <c r="L58" s="47">
        <v>390</v>
      </c>
      <c r="M58" s="47" t="s">
        <v>184</v>
      </c>
      <c r="N58" s="47" t="s">
        <v>185</v>
      </c>
      <c r="O58" s="49">
        <f>13+2</f>
        <v>15</v>
      </c>
      <c r="P58" s="50" t="s">
        <v>38</v>
      </c>
      <c r="Q58" s="49">
        <f>283+33</f>
        <v>316</v>
      </c>
      <c r="R58" s="49">
        <v>28</v>
      </c>
      <c r="S58" s="49">
        <v>390</v>
      </c>
      <c r="T58" s="50" t="s">
        <v>174</v>
      </c>
      <c r="U58" s="50" t="s">
        <v>175</v>
      </c>
      <c r="V58" s="49">
        <v>281</v>
      </c>
      <c r="W58" s="49">
        <v>139</v>
      </c>
      <c r="X58" s="50">
        <v>810</v>
      </c>
      <c r="Y58" s="50">
        <v>16</v>
      </c>
      <c r="Z58" s="50">
        <v>8</v>
      </c>
      <c r="AA58" s="50">
        <v>80</v>
      </c>
      <c r="AB58" s="50">
        <v>44</v>
      </c>
      <c r="AC58" s="50" t="s">
        <v>41</v>
      </c>
      <c r="AD58" s="50" t="s">
        <v>41</v>
      </c>
      <c r="AE58" s="51">
        <v>283</v>
      </c>
      <c r="AF58" s="51">
        <v>95</v>
      </c>
      <c r="AG58" s="51">
        <v>33</v>
      </c>
      <c r="AH58" s="51">
        <v>12</v>
      </c>
      <c r="AI58" s="49">
        <v>13</v>
      </c>
      <c r="AJ58" s="49">
        <v>13</v>
      </c>
      <c r="AK58" s="49">
        <v>2</v>
      </c>
      <c r="AL58" s="49">
        <v>2</v>
      </c>
      <c r="AM58" s="49">
        <v>390</v>
      </c>
      <c r="AN58" s="49">
        <v>28</v>
      </c>
      <c r="AO58" s="52">
        <v>21.13</v>
      </c>
      <c r="AP58" s="52">
        <v>7.198</v>
      </c>
      <c r="AQ58" s="52">
        <v>20.207</v>
      </c>
      <c r="AR58" s="52">
        <v>5.62</v>
      </c>
      <c r="AS58" s="8"/>
    </row>
    <row r="59" spans="1:45" ht="38.25">
      <c r="A59" s="44">
        <v>27</v>
      </c>
      <c r="B59" s="45" t="s">
        <v>186</v>
      </c>
      <c r="C59" s="46">
        <v>1</v>
      </c>
      <c r="D59" s="47">
        <v>637.3</v>
      </c>
      <c r="E59" s="47" t="s">
        <v>187</v>
      </c>
      <c r="F59" s="47"/>
      <c r="G59" s="47">
        <v>637</v>
      </c>
      <c r="H59" s="47" t="s">
        <v>188</v>
      </c>
      <c r="I59" s="47"/>
      <c r="J59" s="47" t="s">
        <v>110</v>
      </c>
      <c r="K59" s="48"/>
      <c r="L59" s="47">
        <v>4754</v>
      </c>
      <c r="M59" s="47" t="s">
        <v>189</v>
      </c>
      <c r="N59" s="47"/>
      <c r="O59" s="49">
        <f>0+0</f>
        <v>0</v>
      </c>
      <c r="P59" s="50" t="s">
        <v>87</v>
      </c>
      <c r="Q59" s="49">
        <f>0+0</f>
        <v>0</v>
      </c>
      <c r="R59" s="49">
        <v>637</v>
      </c>
      <c r="S59" s="49">
        <v>4754</v>
      </c>
      <c r="T59" s="50"/>
      <c r="U59" s="50"/>
      <c r="V59" s="49"/>
      <c r="W59" s="49"/>
      <c r="X59" s="50">
        <v>4754</v>
      </c>
      <c r="Y59" s="50"/>
      <c r="Z59" s="50"/>
      <c r="AA59" s="50">
        <v>0</v>
      </c>
      <c r="AB59" s="50">
        <v>0</v>
      </c>
      <c r="AC59" s="50" t="s">
        <v>41</v>
      </c>
      <c r="AD59" s="50" t="s">
        <v>41</v>
      </c>
      <c r="AE59" s="51"/>
      <c r="AF59" s="51"/>
      <c r="AG59" s="51"/>
      <c r="AH59" s="51">
        <v>4754</v>
      </c>
      <c r="AI59" s="49"/>
      <c r="AJ59" s="49"/>
      <c r="AK59" s="49"/>
      <c r="AL59" s="49">
        <v>637</v>
      </c>
      <c r="AM59" s="49">
        <v>4754</v>
      </c>
      <c r="AN59" s="49">
        <v>637</v>
      </c>
      <c r="AO59" s="52" t="s">
        <v>19</v>
      </c>
      <c r="AP59" s="52" t="s">
        <v>19</v>
      </c>
      <c r="AQ59" s="52" t="s">
        <v>19</v>
      </c>
      <c r="AR59" s="52">
        <v>7.46</v>
      </c>
      <c r="AS59" s="8"/>
    </row>
    <row r="60" spans="1:45" ht="38.25">
      <c r="A60" s="44">
        <v>28</v>
      </c>
      <c r="B60" s="45" t="s">
        <v>190</v>
      </c>
      <c r="C60" s="46">
        <v>1</v>
      </c>
      <c r="D60" s="47">
        <v>811.11</v>
      </c>
      <c r="E60" s="47" t="s">
        <v>191</v>
      </c>
      <c r="F60" s="47"/>
      <c r="G60" s="47">
        <v>811</v>
      </c>
      <c r="H60" s="47" t="s">
        <v>192</v>
      </c>
      <c r="I60" s="47"/>
      <c r="J60" s="47" t="s">
        <v>110</v>
      </c>
      <c r="K60" s="48"/>
      <c r="L60" s="47">
        <v>6051</v>
      </c>
      <c r="M60" s="47" t="s">
        <v>193</v>
      </c>
      <c r="N60" s="47"/>
      <c r="O60" s="49">
        <f>0+0</f>
        <v>0</v>
      </c>
      <c r="P60" s="50" t="s">
        <v>87</v>
      </c>
      <c r="Q60" s="49">
        <f>0+0</f>
        <v>0</v>
      </c>
      <c r="R60" s="49">
        <v>811</v>
      </c>
      <c r="S60" s="49">
        <v>6051</v>
      </c>
      <c r="T60" s="50"/>
      <c r="U60" s="50"/>
      <c r="V60" s="49"/>
      <c r="W60" s="49"/>
      <c r="X60" s="50">
        <v>6051</v>
      </c>
      <c r="Y60" s="50"/>
      <c r="Z60" s="50"/>
      <c r="AA60" s="50">
        <v>0</v>
      </c>
      <c r="AB60" s="50">
        <v>0</v>
      </c>
      <c r="AC60" s="50" t="s">
        <v>41</v>
      </c>
      <c r="AD60" s="50" t="s">
        <v>41</v>
      </c>
      <c r="AE60" s="51"/>
      <c r="AF60" s="51"/>
      <c r="AG60" s="51"/>
      <c r="AH60" s="51">
        <v>6051</v>
      </c>
      <c r="AI60" s="49"/>
      <c r="AJ60" s="49"/>
      <c r="AK60" s="49"/>
      <c r="AL60" s="49">
        <v>811</v>
      </c>
      <c r="AM60" s="49">
        <v>6051</v>
      </c>
      <c r="AN60" s="49">
        <v>811</v>
      </c>
      <c r="AO60" s="52" t="s">
        <v>19</v>
      </c>
      <c r="AP60" s="52" t="s">
        <v>19</v>
      </c>
      <c r="AQ60" s="52" t="s">
        <v>19</v>
      </c>
      <c r="AR60" s="52">
        <v>7.46</v>
      </c>
      <c r="AS60" s="8"/>
    </row>
    <row r="61" spans="1:45" ht="12.75">
      <c r="A61" s="85" t="s">
        <v>63</v>
      </c>
      <c r="B61" s="86"/>
      <c r="C61" s="86"/>
      <c r="D61" s="86"/>
      <c r="E61" s="86"/>
      <c r="F61" s="86"/>
      <c r="G61" s="73">
        <v>64628</v>
      </c>
      <c r="H61" s="47"/>
      <c r="I61" s="47"/>
      <c r="J61" s="47"/>
      <c r="K61" s="48"/>
      <c r="L61" s="73">
        <v>488368</v>
      </c>
      <c r="M61" s="47"/>
      <c r="N61" s="47"/>
      <c r="O61" s="53" t="s">
        <v>56</v>
      </c>
      <c r="P61" s="54" t="s">
        <v>56</v>
      </c>
      <c r="Q61" s="53" t="s">
        <v>56</v>
      </c>
      <c r="R61" s="53" t="s">
        <v>56</v>
      </c>
      <c r="S61" s="53" t="s">
        <v>56</v>
      </c>
      <c r="T61" s="54" t="s">
        <v>56</v>
      </c>
      <c r="U61" s="54" t="s">
        <v>56</v>
      </c>
      <c r="V61" s="53" t="s">
        <v>56</v>
      </c>
      <c r="W61" s="53" t="s">
        <v>56</v>
      </c>
      <c r="X61" s="54" t="s">
        <v>56</v>
      </c>
      <c r="Y61" s="54" t="s">
        <v>56</v>
      </c>
      <c r="Z61" s="54" t="s">
        <v>56</v>
      </c>
      <c r="AA61" s="54" t="s">
        <v>56</v>
      </c>
      <c r="AB61" s="54" t="s">
        <v>56</v>
      </c>
      <c r="AC61" s="54" t="s">
        <v>56</v>
      </c>
      <c r="AD61" s="54" t="s">
        <v>56</v>
      </c>
      <c r="AE61" s="55" t="s">
        <v>56</v>
      </c>
      <c r="AF61" s="55" t="s">
        <v>56</v>
      </c>
      <c r="AG61" s="55" t="s">
        <v>56</v>
      </c>
      <c r="AH61" s="55" t="s">
        <v>56</v>
      </c>
      <c r="AI61" s="53" t="s">
        <v>56</v>
      </c>
      <c r="AJ61" s="53" t="s">
        <v>56</v>
      </c>
      <c r="AK61" s="53" t="s">
        <v>56</v>
      </c>
      <c r="AL61" s="53" t="s">
        <v>56</v>
      </c>
      <c r="AM61" s="53"/>
      <c r="AN61" s="53"/>
      <c r="AO61" s="56" t="s">
        <v>56</v>
      </c>
      <c r="AP61" s="56" t="s">
        <v>56</v>
      </c>
      <c r="AQ61" s="56" t="s">
        <v>56</v>
      </c>
      <c r="AR61" s="56" t="s">
        <v>56</v>
      </c>
      <c r="AS61" s="8"/>
    </row>
    <row r="62" spans="1:45" ht="42" customHeight="1">
      <c r="A62" s="85" t="s">
        <v>336</v>
      </c>
      <c r="B62" s="86"/>
      <c r="C62" s="86"/>
      <c r="D62" s="86"/>
      <c r="E62" s="86"/>
      <c r="F62" s="86"/>
      <c r="G62" s="73"/>
      <c r="H62" s="47"/>
      <c r="I62" s="47"/>
      <c r="J62" s="47"/>
      <c r="K62" s="48"/>
      <c r="L62" s="73">
        <v>664571</v>
      </c>
      <c r="M62" s="47"/>
      <c r="N62" s="47"/>
      <c r="O62" s="53" t="s">
        <v>56</v>
      </c>
      <c r="P62" s="54" t="s">
        <v>56</v>
      </c>
      <c r="Q62" s="53" t="s">
        <v>56</v>
      </c>
      <c r="R62" s="53" t="s">
        <v>56</v>
      </c>
      <c r="S62" s="53" t="s">
        <v>56</v>
      </c>
      <c r="T62" s="54" t="s">
        <v>56</v>
      </c>
      <c r="U62" s="54" t="s">
        <v>56</v>
      </c>
      <c r="V62" s="53" t="s">
        <v>56</v>
      </c>
      <c r="W62" s="53" t="s">
        <v>56</v>
      </c>
      <c r="X62" s="54" t="s">
        <v>56</v>
      </c>
      <c r="Y62" s="54" t="s">
        <v>56</v>
      </c>
      <c r="Z62" s="54" t="s">
        <v>56</v>
      </c>
      <c r="AA62" s="54" t="s">
        <v>56</v>
      </c>
      <c r="AB62" s="54" t="s">
        <v>56</v>
      </c>
      <c r="AC62" s="54" t="s">
        <v>56</v>
      </c>
      <c r="AD62" s="54" t="s">
        <v>56</v>
      </c>
      <c r="AE62" s="55" t="s">
        <v>56</v>
      </c>
      <c r="AF62" s="55" t="s">
        <v>56</v>
      </c>
      <c r="AG62" s="55" t="s">
        <v>56</v>
      </c>
      <c r="AH62" s="55" t="s">
        <v>56</v>
      </c>
      <c r="AI62" s="53" t="s">
        <v>56</v>
      </c>
      <c r="AJ62" s="53" t="s">
        <v>56</v>
      </c>
      <c r="AK62" s="53" t="s">
        <v>56</v>
      </c>
      <c r="AL62" s="53" t="s">
        <v>56</v>
      </c>
      <c r="AM62" s="53"/>
      <c r="AN62" s="53"/>
      <c r="AO62" s="56" t="s">
        <v>56</v>
      </c>
      <c r="AP62" s="56" t="s">
        <v>56</v>
      </c>
      <c r="AQ62" s="56" t="s">
        <v>56</v>
      </c>
      <c r="AR62" s="56" t="s">
        <v>56</v>
      </c>
      <c r="AS62" s="8"/>
    </row>
    <row r="63" spans="1:45" ht="12.75">
      <c r="A63" s="83" t="s">
        <v>195</v>
      </c>
      <c r="B63" s="84"/>
      <c r="C63" s="84"/>
      <c r="D63" s="84"/>
      <c r="E63" s="84"/>
      <c r="F63" s="84"/>
      <c r="G63" s="74">
        <v>64628</v>
      </c>
      <c r="H63" s="57"/>
      <c r="I63" s="57"/>
      <c r="J63" s="57"/>
      <c r="K63" s="58"/>
      <c r="L63" s="74">
        <v>664571</v>
      </c>
      <c r="M63" s="57"/>
      <c r="N63" s="57"/>
      <c r="O63" s="59" t="s">
        <v>56</v>
      </c>
      <c r="P63" s="60" t="s">
        <v>56</v>
      </c>
      <c r="Q63" s="59" t="s">
        <v>56</v>
      </c>
      <c r="R63" s="59" t="s">
        <v>56</v>
      </c>
      <c r="S63" s="59" t="s">
        <v>56</v>
      </c>
      <c r="T63" s="60" t="s">
        <v>56</v>
      </c>
      <c r="U63" s="60" t="s">
        <v>56</v>
      </c>
      <c r="V63" s="59" t="s">
        <v>56</v>
      </c>
      <c r="W63" s="59" t="s">
        <v>56</v>
      </c>
      <c r="X63" s="60" t="s">
        <v>56</v>
      </c>
      <c r="Y63" s="60" t="s">
        <v>56</v>
      </c>
      <c r="Z63" s="60" t="s">
        <v>56</v>
      </c>
      <c r="AA63" s="60" t="s">
        <v>56</v>
      </c>
      <c r="AB63" s="60" t="s">
        <v>56</v>
      </c>
      <c r="AC63" s="60" t="s">
        <v>56</v>
      </c>
      <c r="AD63" s="60" t="s">
        <v>56</v>
      </c>
      <c r="AE63" s="61" t="s">
        <v>56</v>
      </c>
      <c r="AF63" s="61" t="s">
        <v>56</v>
      </c>
      <c r="AG63" s="61" t="s">
        <v>56</v>
      </c>
      <c r="AH63" s="61" t="s">
        <v>56</v>
      </c>
      <c r="AI63" s="59" t="s">
        <v>56</v>
      </c>
      <c r="AJ63" s="59" t="s">
        <v>56</v>
      </c>
      <c r="AK63" s="59" t="s">
        <v>56</v>
      </c>
      <c r="AL63" s="59" t="s">
        <v>56</v>
      </c>
      <c r="AM63" s="59"/>
      <c r="AN63" s="59"/>
      <c r="AO63" s="62" t="s">
        <v>56</v>
      </c>
      <c r="AP63" s="62" t="s">
        <v>56</v>
      </c>
      <c r="AQ63" s="62" t="s">
        <v>56</v>
      </c>
      <c r="AR63" s="62" t="s">
        <v>56</v>
      </c>
      <c r="AS63" s="8"/>
    </row>
    <row r="64" spans="1:45" ht="21" customHeight="1">
      <c r="A64" s="95" t="s">
        <v>196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8"/>
    </row>
    <row r="65" spans="1:45" ht="17.25" customHeight="1">
      <c r="A65" s="93" t="s">
        <v>197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8"/>
    </row>
    <row r="66" spans="1:45" ht="102">
      <c r="A66" s="44">
        <v>29</v>
      </c>
      <c r="B66" s="45" t="s">
        <v>198</v>
      </c>
      <c r="C66" s="46">
        <v>0.04284</v>
      </c>
      <c r="D66" s="47">
        <v>643.47</v>
      </c>
      <c r="E66" s="47"/>
      <c r="F66" s="47" t="s">
        <v>199</v>
      </c>
      <c r="G66" s="47">
        <v>28</v>
      </c>
      <c r="H66" s="47"/>
      <c r="I66" s="47" t="s">
        <v>200</v>
      </c>
      <c r="J66" s="47">
        <v>21.13</v>
      </c>
      <c r="K66" s="48" t="s">
        <v>201</v>
      </c>
      <c r="L66" s="47">
        <v>320</v>
      </c>
      <c r="M66" s="47"/>
      <c r="N66" s="47" t="s">
        <v>202</v>
      </c>
      <c r="O66" s="49">
        <f>0+5</f>
        <v>5</v>
      </c>
      <c r="P66" s="50" t="s">
        <v>38</v>
      </c>
      <c r="Q66" s="49">
        <f>0+109</f>
        <v>109</v>
      </c>
      <c r="R66" s="49">
        <v>28</v>
      </c>
      <c r="S66" s="49">
        <v>320</v>
      </c>
      <c r="T66" s="50" t="s">
        <v>203</v>
      </c>
      <c r="U66" s="50" t="s">
        <v>204</v>
      </c>
      <c r="V66" s="49">
        <v>88</v>
      </c>
      <c r="W66" s="49">
        <v>37</v>
      </c>
      <c r="X66" s="50">
        <v>445</v>
      </c>
      <c r="Y66" s="50">
        <v>5</v>
      </c>
      <c r="Z66" s="50">
        <v>2</v>
      </c>
      <c r="AA66" s="50">
        <v>73</v>
      </c>
      <c r="AB66" s="50">
        <v>34</v>
      </c>
      <c r="AC66" s="50" t="s">
        <v>41</v>
      </c>
      <c r="AD66" s="50" t="s">
        <v>41</v>
      </c>
      <c r="AE66" s="51"/>
      <c r="AF66" s="51">
        <v>320</v>
      </c>
      <c r="AG66" s="51">
        <v>109</v>
      </c>
      <c r="AH66" s="51"/>
      <c r="AI66" s="49"/>
      <c r="AJ66" s="49">
        <v>28</v>
      </c>
      <c r="AK66" s="49">
        <v>5</v>
      </c>
      <c r="AL66" s="49"/>
      <c r="AM66" s="49">
        <v>320</v>
      </c>
      <c r="AN66" s="49">
        <v>28</v>
      </c>
      <c r="AO66" s="52">
        <v>21.13</v>
      </c>
      <c r="AP66" s="52">
        <v>11.616</v>
      </c>
      <c r="AQ66" s="52">
        <v>20.199</v>
      </c>
      <c r="AR66" s="52" t="s">
        <v>19</v>
      </c>
      <c r="AS66" s="8"/>
    </row>
    <row r="67" spans="1:45" ht="102">
      <c r="A67" s="44">
        <v>30</v>
      </c>
      <c r="B67" s="45" t="s">
        <v>205</v>
      </c>
      <c r="C67" s="46">
        <v>0.1042</v>
      </c>
      <c r="D67" s="47">
        <v>920.4</v>
      </c>
      <c r="E67" s="47">
        <v>920.4</v>
      </c>
      <c r="F67" s="47"/>
      <c r="G67" s="47">
        <v>96</v>
      </c>
      <c r="H67" s="47">
        <v>96</v>
      </c>
      <c r="I67" s="47"/>
      <c r="J67" s="47">
        <v>21.13</v>
      </c>
      <c r="K67" s="48"/>
      <c r="L67" s="47">
        <v>2026</v>
      </c>
      <c r="M67" s="47">
        <v>2026</v>
      </c>
      <c r="N67" s="47"/>
      <c r="O67" s="49">
        <f>96+0</f>
        <v>96</v>
      </c>
      <c r="P67" s="50" t="s">
        <v>38</v>
      </c>
      <c r="Q67" s="49">
        <f>2026+0</f>
        <v>2026</v>
      </c>
      <c r="R67" s="49">
        <v>96</v>
      </c>
      <c r="S67" s="49">
        <v>2026</v>
      </c>
      <c r="T67" s="50" t="s">
        <v>68</v>
      </c>
      <c r="U67" s="50" t="s">
        <v>69</v>
      </c>
      <c r="V67" s="49">
        <v>1378</v>
      </c>
      <c r="W67" s="49">
        <v>628</v>
      </c>
      <c r="X67" s="50">
        <v>4032</v>
      </c>
      <c r="Y67" s="50">
        <v>77</v>
      </c>
      <c r="Z67" s="50">
        <v>36</v>
      </c>
      <c r="AA67" s="50">
        <v>61</v>
      </c>
      <c r="AB67" s="50">
        <v>31</v>
      </c>
      <c r="AC67" s="50" t="s">
        <v>41</v>
      </c>
      <c r="AD67" s="50" t="s">
        <v>41</v>
      </c>
      <c r="AE67" s="51">
        <v>2026</v>
      </c>
      <c r="AF67" s="51"/>
      <c r="AG67" s="51"/>
      <c r="AH67" s="51"/>
      <c r="AI67" s="49">
        <v>96</v>
      </c>
      <c r="AJ67" s="49"/>
      <c r="AK67" s="49"/>
      <c r="AL67" s="49"/>
      <c r="AM67" s="49">
        <v>2026</v>
      </c>
      <c r="AN67" s="49">
        <v>96</v>
      </c>
      <c r="AO67" s="52">
        <v>21.13</v>
      </c>
      <c r="AP67" s="52" t="s">
        <v>19</v>
      </c>
      <c r="AQ67" s="52" t="s">
        <v>19</v>
      </c>
      <c r="AR67" s="52" t="s">
        <v>19</v>
      </c>
      <c r="AS67" s="8"/>
    </row>
    <row r="68" spans="1:45" ht="89.25">
      <c r="A68" s="44">
        <v>31</v>
      </c>
      <c r="B68" s="45" t="s">
        <v>206</v>
      </c>
      <c r="C68" s="46">
        <v>0.0175</v>
      </c>
      <c r="D68" s="47">
        <v>663.75</v>
      </c>
      <c r="E68" s="47">
        <v>663.75</v>
      </c>
      <c r="F68" s="47"/>
      <c r="G68" s="47">
        <v>12</v>
      </c>
      <c r="H68" s="47">
        <v>12</v>
      </c>
      <c r="I68" s="47"/>
      <c r="J68" s="47">
        <v>21.13</v>
      </c>
      <c r="K68" s="48"/>
      <c r="L68" s="47">
        <v>245</v>
      </c>
      <c r="M68" s="47">
        <v>245</v>
      </c>
      <c r="N68" s="47"/>
      <c r="O68" s="49">
        <f>12+0</f>
        <v>12</v>
      </c>
      <c r="P68" s="50" t="s">
        <v>38</v>
      </c>
      <c r="Q68" s="49">
        <f>245+0</f>
        <v>245</v>
      </c>
      <c r="R68" s="49">
        <v>12</v>
      </c>
      <c r="S68" s="49">
        <v>245</v>
      </c>
      <c r="T68" s="50" t="s">
        <v>68</v>
      </c>
      <c r="U68" s="50" t="s">
        <v>69</v>
      </c>
      <c r="V68" s="49">
        <v>167</v>
      </c>
      <c r="W68" s="49">
        <v>76</v>
      </c>
      <c r="X68" s="50">
        <v>488</v>
      </c>
      <c r="Y68" s="50">
        <v>10</v>
      </c>
      <c r="Z68" s="50">
        <v>5</v>
      </c>
      <c r="AA68" s="50">
        <v>61</v>
      </c>
      <c r="AB68" s="50">
        <v>31</v>
      </c>
      <c r="AC68" s="50" t="s">
        <v>41</v>
      </c>
      <c r="AD68" s="50" t="s">
        <v>41</v>
      </c>
      <c r="AE68" s="51">
        <v>245</v>
      </c>
      <c r="AF68" s="51"/>
      <c r="AG68" s="51"/>
      <c r="AH68" s="51"/>
      <c r="AI68" s="49">
        <v>12</v>
      </c>
      <c r="AJ68" s="49"/>
      <c r="AK68" s="49"/>
      <c r="AL68" s="49"/>
      <c r="AM68" s="49">
        <v>245</v>
      </c>
      <c r="AN68" s="49">
        <v>12</v>
      </c>
      <c r="AO68" s="52">
        <v>21.13</v>
      </c>
      <c r="AP68" s="52" t="s">
        <v>19</v>
      </c>
      <c r="AQ68" s="52" t="s">
        <v>19</v>
      </c>
      <c r="AR68" s="52" t="s">
        <v>19</v>
      </c>
      <c r="AS68" s="8"/>
    </row>
    <row r="69" spans="1:45" ht="102">
      <c r="A69" s="44">
        <v>32</v>
      </c>
      <c r="B69" s="45" t="s">
        <v>207</v>
      </c>
      <c r="C69" s="46">
        <v>0.05151</v>
      </c>
      <c r="D69" s="47">
        <v>5016.61</v>
      </c>
      <c r="E69" s="47" t="s">
        <v>208</v>
      </c>
      <c r="F69" s="47" t="s">
        <v>209</v>
      </c>
      <c r="G69" s="47">
        <v>258</v>
      </c>
      <c r="H69" s="47">
        <v>10</v>
      </c>
      <c r="I69" s="47" t="s">
        <v>210</v>
      </c>
      <c r="J69" s="47" t="s">
        <v>211</v>
      </c>
      <c r="K69" s="48" t="s">
        <v>212</v>
      </c>
      <c r="L69" s="47">
        <v>2662</v>
      </c>
      <c r="M69" s="47" t="s">
        <v>213</v>
      </c>
      <c r="N69" s="47" t="s">
        <v>214</v>
      </c>
      <c r="O69" s="49">
        <f>10+42</f>
        <v>52</v>
      </c>
      <c r="P69" s="50" t="s">
        <v>38</v>
      </c>
      <c r="Q69" s="49">
        <f>209+856</f>
        <v>1065</v>
      </c>
      <c r="R69" s="49">
        <v>258</v>
      </c>
      <c r="S69" s="49">
        <v>2662</v>
      </c>
      <c r="T69" s="50" t="s">
        <v>203</v>
      </c>
      <c r="U69" s="50" t="s">
        <v>204</v>
      </c>
      <c r="V69" s="49">
        <v>863</v>
      </c>
      <c r="W69" s="49">
        <v>362</v>
      </c>
      <c r="X69" s="50">
        <v>3887</v>
      </c>
      <c r="Y69" s="50">
        <v>49</v>
      </c>
      <c r="Z69" s="50">
        <v>22</v>
      </c>
      <c r="AA69" s="50">
        <v>73</v>
      </c>
      <c r="AB69" s="50">
        <v>34</v>
      </c>
      <c r="AC69" s="50" t="s">
        <v>41</v>
      </c>
      <c r="AD69" s="50" t="s">
        <v>41</v>
      </c>
      <c r="AE69" s="51">
        <v>209</v>
      </c>
      <c r="AF69" s="51">
        <v>2451</v>
      </c>
      <c r="AG69" s="51">
        <v>856</v>
      </c>
      <c r="AH69" s="51">
        <v>2</v>
      </c>
      <c r="AI69" s="49">
        <v>10</v>
      </c>
      <c r="AJ69" s="49">
        <v>248</v>
      </c>
      <c r="AK69" s="49">
        <v>42</v>
      </c>
      <c r="AL69" s="49"/>
      <c r="AM69" s="49">
        <v>2662</v>
      </c>
      <c r="AN69" s="49">
        <v>258</v>
      </c>
      <c r="AO69" s="52">
        <v>21.13</v>
      </c>
      <c r="AP69" s="52">
        <v>9.87</v>
      </c>
      <c r="AQ69" s="52">
        <v>20.198</v>
      </c>
      <c r="AR69" s="52">
        <v>9.652</v>
      </c>
      <c r="AS69" s="8"/>
    </row>
    <row r="70" spans="1:45" ht="114.75">
      <c r="A70" s="44">
        <v>33</v>
      </c>
      <c r="B70" s="45" t="s">
        <v>215</v>
      </c>
      <c r="C70" s="46">
        <v>82.416</v>
      </c>
      <c r="D70" s="47">
        <v>11.42</v>
      </c>
      <c r="E70" s="47"/>
      <c r="F70" s="47">
        <v>11.42</v>
      </c>
      <c r="G70" s="47">
        <v>941</v>
      </c>
      <c r="H70" s="47"/>
      <c r="I70" s="47">
        <v>941</v>
      </c>
      <c r="J70" s="47"/>
      <c r="K70" s="48">
        <v>9.94</v>
      </c>
      <c r="L70" s="47">
        <v>9355</v>
      </c>
      <c r="M70" s="47"/>
      <c r="N70" s="47">
        <v>9355</v>
      </c>
      <c r="O70" s="49">
        <f>0+0</f>
        <v>0</v>
      </c>
      <c r="P70" s="50" t="s">
        <v>38</v>
      </c>
      <c r="Q70" s="49">
        <f>0+0</f>
        <v>0</v>
      </c>
      <c r="R70" s="49">
        <v>941</v>
      </c>
      <c r="S70" s="49">
        <v>9355</v>
      </c>
      <c r="T70" s="50" t="s">
        <v>53</v>
      </c>
      <c r="U70" s="50" t="s">
        <v>54</v>
      </c>
      <c r="V70" s="49"/>
      <c r="W70" s="49"/>
      <c r="X70" s="50">
        <v>9355</v>
      </c>
      <c r="Y70" s="50"/>
      <c r="Z70" s="50"/>
      <c r="AA70" s="50">
        <v>0</v>
      </c>
      <c r="AB70" s="50">
        <v>0</v>
      </c>
      <c r="AC70" s="50" t="s">
        <v>41</v>
      </c>
      <c r="AD70" s="50" t="s">
        <v>41</v>
      </c>
      <c r="AE70" s="51"/>
      <c r="AF70" s="51">
        <v>9355</v>
      </c>
      <c r="AG70" s="51"/>
      <c r="AH70" s="51"/>
      <c r="AI70" s="49"/>
      <c r="AJ70" s="49">
        <v>941</v>
      </c>
      <c r="AK70" s="49"/>
      <c r="AL70" s="49"/>
      <c r="AM70" s="49">
        <v>9355</v>
      </c>
      <c r="AN70" s="49">
        <v>941</v>
      </c>
      <c r="AO70" s="52" t="s">
        <v>19</v>
      </c>
      <c r="AP70" s="52">
        <v>9.94</v>
      </c>
      <c r="AQ70" s="52" t="s">
        <v>19</v>
      </c>
      <c r="AR70" s="52" t="s">
        <v>19</v>
      </c>
      <c r="AS70" s="8"/>
    </row>
    <row r="71" spans="1:45" ht="204">
      <c r="A71" s="44">
        <v>34</v>
      </c>
      <c r="B71" s="45" t="s">
        <v>216</v>
      </c>
      <c r="C71" s="46">
        <v>0.11145</v>
      </c>
      <c r="D71" s="47">
        <v>1531.69</v>
      </c>
      <c r="E71" s="47" t="s">
        <v>123</v>
      </c>
      <c r="F71" s="47" t="s">
        <v>124</v>
      </c>
      <c r="G71" s="47">
        <v>170</v>
      </c>
      <c r="H71" s="47" t="s">
        <v>217</v>
      </c>
      <c r="I71" s="47" t="s">
        <v>218</v>
      </c>
      <c r="J71" s="47" t="s">
        <v>76</v>
      </c>
      <c r="K71" s="48" t="s">
        <v>126</v>
      </c>
      <c r="L71" s="47">
        <v>1341</v>
      </c>
      <c r="M71" s="47" t="s">
        <v>219</v>
      </c>
      <c r="N71" s="47" t="s">
        <v>220</v>
      </c>
      <c r="O71" s="49">
        <f>14+13</f>
        <v>27</v>
      </c>
      <c r="P71" s="50" t="s">
        <v>38</v>
      </c>
      <c r="Q71" s="49">
        <f>297+260</f>
        <v>557</v>
      </c>
      <c r="R71" s="49">
        <v>170</v>
      </c>
      <c r="S71" s="49">
        <v>1341</v>
      </c>
      <c r="T71" s="50" t="s">
        <v>80</v>
      </c>
      <c r="U71" s="50" t="s">
        <v>81</v>
      </c>
      <c r="V71" s="49">
        <v>674</v>
      </c>
      <c r="W71" s="49">
        <v>362</v>
      </c>
      <c r="X71" s="50">
        <v>2377</v>
      </c>
      <c r="Y71" s="50">
        <v>38</v>
      </c>
      <c r="Z71" s="50">
        <v>22</v>
      </c>
      <c r="AA71" s="50">
        <v>121</v>
      </c>
      <c r="AB71" s="50">
        <v>65</v>
      </c>
      <c r="AC71" s="50" t="s">
        <v>41</v>
      </c>
      <c r="AD71" s="50" t="s">
        <v>41</v>
      </c>
      <c r="AE71" s="51">
        <v>297</v>
      </c>
      <c r="AF71" s="51">
        <v>1033</v>
      </c>
      <c r="AG71" s="51">
        <v>260</v>
      </c>
      <c r="AH71" s="51">
        <v>11</v>
      </c>
      <c r="AI71" s="49">
        <v>14</v>
      </c>
      <c r="AJ71" s="49">
        <v>155</v>
      </c>
      <c r="AK71" s="49">
        <v>13</v>
      </c>
      <c r="AL71" s="49">
        <v>1</v>
      </c>
      <c r="AM71" s="49">
        <v>1341</v>
      </c>
      <c r="AN71" s="49">
        <v>170</v>
      </c>
      <c r="AO71" s="52">
        <v>21.13</v>
      </c>
      <c r="AP71" s="52">
        <v>6.649</v>
      </c>
      <c r="AQ71" s="52">
        <v>20.239</v>
      </c>
      <c r="AR71" s="52">
        <v>8.111</v>
      </c>
      <c r="AS71" s="8"/>
    </row>
    <row r="72" spans="1:45" ht="51">
      <c r="A72" s="44">
        <v>35</v>
      </c>
      <c r="B72" s="45" t="s">
        <v>128</v>
      </c>
      <c r="C72" s="46">
        <v>12.2595</v>
      </c>
      <c r="D72" s="47">
        <v>55.26</v>
      </c>
      <c r="E72" s="47" t="s">
        <v>129</v>
      </c>
      <c r="F72" s="47"/>
      <c r="G72" s="47">
        <v>677</v>
      </c>
      <c r="H72" s="47" t="s">
        <v>221</v>
      </c>
      <c r="I72" s="47"/>
      <c r="J72" s="47" t="s">
        <v>131</v>
      </c>
      <c r="K72" s="48"/>
      <c r="L72" s="47">
        <v>6586</v>
      </c>
      <c r="M72" s="47" t="s">
        <v>222</v>
      </c>
      <c r="N72" s="47"/>
      <c r="O72" s="49">
        <f>0+0</f>
        <v>0</v>
      </c>
      <c r="P72" s="50" t="s">
        <v>87</v>
      </c>
      <c r="Q72" s="49">
        <f>0+0</f>
        <v>0</v>
      </c>
      <c r="R72" s="49">
        <v>677</v>
      </c>
      <c r="S72" s="49">
        <v>6586</v>
      </c>
      <c r="T72" s="50"/>
      <c r="U72" s="50"/>
      <c r="V72" s="49"/>
      <c r="W72" s="49"/>
      <c r="X72" s="50">
        <v>6586</v>
      </c>
      <c r="Y72" s="50"/>
      <c r="Z72" s="50"/>
      <c r="AA72" s="50">
        <v>121</v>
      </c>
      <c r="AB72" s="50">
        <v>65</v>
      </c>
      <c r="AC72" s="50" t="s">
        <v>41</v>
      </c>
      <c r="AD72" s="50" t="s">
        <v>41</v>
      </c>
      <c r="AE72" s="51"/>
      <c r="AF72" s="51"/>
      <c r="AG72" s="51"/>
      <c r="AH72" s="51">
        <v>6586</v>
      </c>
      <c r="AI72" s="49"/>
      <c r="AJ72" s="49"/>
      <c r="AK72" s="49"/>
      <c r="AL72" s="49">
        <v>677</v>
      </c>
      <c r="AM72" s="49">
        <v>6586</v>
      </c>
      <c r="AN72" s="49">
        <v>677</v>
      </c>
      <c r="AO72" s="52" t="s">
        <v>19</v>
      </c>
      <c r="AP72" s="52" t="s">
        <v>19</v>
      </c>
      <c r="AQ72" s="52" t="s">
        <v>19</v>
      </c>
      <c r="AR72" s="52">
        <v>9.721</v>
      </c>
      <c r="AS72" s="8"/>
    </row>
    <row r="73" spans="1:45" ht="127.5">
      <c r="A73" s="44">
        <v>36</v>
      </c>
      <c r="B73" s="45" t="s">
        <v>223</v>
      </c>
      <c r="C73" s="46">
        <v>0.126</v>
      </c>
      <c r="D73" s="47">
        <v>24545.99</v>
      </c>
      <c r="E73" s="47" t="s">
        <v>224</v>
      </c>
      <c r="F73" s="47" t="s">
        <v>225</v>
      </c>
      <c r="G73" s="47">
        <v>3092</v>
      </c>
      <c r="H73" s="47" t="s">
        <v>226</v>
      </c>
      <c r="I73" s="47" t="s">
        <v>227</v>
      </c>
      <c r="J73" s="47" t="s">
        <v>228</v>
      </c>
      <c r="K73" s="48" t="s">
        <v>229</v>
      </c>
      <c r="L73" s="47">
        <v>20381</v>
      </c>
      <c r="M73" s="47" t="s">
        <v>230</v>
      </c>
      <c r="N73" s="47" t="s">
        <v>231</v>
      </c>
      <c r="O73" s="49">
        <f>38+59</f>
        <v>97</v>
      </c>
      <c r="P73" s="50" t="s">
        <v>38</v>
      </c>
      <c r="Q73" s="49">
        <f>804+1201</f>
        <v>2005</v>
      </c>
      <c r="R73" s="49">
        <v>3092</v>
      </c>
      <c r="S73" s="49">
        <v>20381</v>
      </c>
      <c r="T73" s="50" t="s">
        <v>80</v>
      </c>
      <c r="U73" s="50" t="s">
        <v>81</v>
      </c>
      <c r="V73" s="49">
        <v>2426</v>
      </c>
      <c r="W73" s="49">
        <v>1303</v>
      </c>
      <c r="X73" s="50">
        <v>24110</v>
      </c>
      <c r="Y73" s="50">
        <v>138</v>
      </c>
      <c r="Z73" s="50">
        <v>79</v>
      </c>
      <c r="AA73" s="50">
        <v>121</v>
      </c>
      <c r="AB73" s="50">
        <v>65</v>
      </c>
      <c r="AC73" s="50" t="s">
        <v>41</v>
      </c>
      <c r="AD73" s="50" t="s">
        <v>41</v>
      </c>
      <c r="AE73" s="51">
        <v>804</v>
      </c>
      <c r="AF73" s="51">
        <v>3448</v>
      </c>
      <c r="AG73" s="51">
        <v>1201</v>
      </c>
      <c r="AH73" s="51">
        <v>16129</v>
      </c>
      <c r="AI73" s="49">
        <v>38</v>
      </c>
      <c r="AJ73" s="49">
        <v>473</v>
      </c>
      <c r="AK73" s="49">
        <v>59</v>
      </c>
      <c r="AL73" s="49">
        <v>2581</v>
      </c>
      <c r="AM73" s="49">
        <v>20381</v>
      </c>
      <c r="AN73" s="49">
        <v>3092</v>
      </c>
      <c r="AO73" s="52">
        <v>21.13</v>
      </c>
      <c r="AP73" s="52">
        <v>7.285</v>
      </c>
      <c r="AQ73" s="52">
        <v>20.234</v>
      </c>
      <c r="AR73" s="52">
        <v>6.248</v>
      </c>
      <c r="AS73" s="8"/>
    </row>
    <row r="74" spans="1:45" ht="51">
      <c r="A74" s="44">
        <v>37</v>
      </c>
      <c r="B74" s="45" t="s">
        <v>232</v>
      </c>
      <c r="C74" s="46">
        <v>-1.89</v>
      </c>
      <c r="D74" s="47">
        <v>118.6</v>
      </c>
      <c r="E74" s="47" t="s">
        <v>233</v>
      </c>
      <c r="F74" s="47"/>
      <c r="G74" s="47">
        <v>-224</v>
      </c>
      <c r="H74" s="47" t="s">
        <v>234</v>
      </c>
      <c r="I74" s="47"/>
      <c r="J74" s="47" t="s">
        <v>235</v>
      </c>
      <c r="K74" s="48"/>
      <c r="L74" s="47">
        <v>-1694</v>
      </c>
      <c r="M74" s="47" t="s">
        <v>236</v>
      </c>
      <c r="N74" s="47"/>
      <c r="O74" s="49">
        <f>0+0</f>
        <v>0</v>
      </c>
      <c r="P74" s="50" t="s">
        <v>87</v>
      </c>
      <c r="Q74" s="49">
        <f>0+0</f>
        <v>0</v>
      </c>
      <c r="R74" s="49">
        <v>-224</v>
      </c>
      <c r="S74" s="49">
        <v>-1694</v>
      </c>
      <c r="T74" s="50"/>
      <c r="U74" s="50"/>
      <c r="V74" s="49"/>
      <c r="W74" s="49"/>
      <c r="X74" s="50">
        <v>-1694</v>
      </c>
      <c r="Y74" s="50"/>
      <c r="Z74" s="50"/>
      <c r="AA74" s="50">
        <v>0</v>
      </c>
      <c r="AB74" s="50">
        <v>0</v>
      </c>
      <c r="AC74" s="50" t="s">
        <v>41</v>
      </c>
      <c r="AD74" s="50" t="s">
        <v>41</v>
      </c>
      <c r="AE74" s="51"/>
      <c r="AF74" s="51"/>
      <c r="AG74" s="51"/>
      <c r="AH74" s="51">
        <v>-1694</v>
      </c>
      <c r="AI74" s="49"/>
      <c r="AJ74" s="49"/>
      <c r="AK74" s="49"/>
      <c r="AL74" s="49">
        <v>-224</v>
      </c>
      <c r="AM74" s="49">
        <v>-1694</v>
      </c>
      <c r="AN74" s="49">
        <v>-224</v>
      </c>
      <c r="AO74" s="52" t="s">
        <v>19</v>
      </c>
      <c r="AP74" s="52" t="s">
        <v>19</v>
      </c>
      <c r="AQ74" s="52" t="s">
        <v>19</v>
      </c>
      <c r="AR74" s="52">
        <v>7.558</v>
      </c>
      <c r="AS74" s="8"/>
    </row>
    <row r="75" spans="1:45" ht="51">
      <c r="A75" s="44">
        <v>38</v>
      </c>
      <c r="B75" s="45" t="s">
        <v>140</v>
      </c>
      <c r="C75" s="46">
        <v>1.89</v>
      </c>
      <c r="D75" s="47">
        <v>98.6</v>
      </c>
      <c r="E75" s="47" t="s">
        <v>141</v>
      </c>
      <c r="F75" s="47"/>
      <c r="G75" s="47">
        <v>186</v>
      </c>
      <c r="H75" s="47" t="s">
        <v>237</v>
      </c>
      <c r="I75" s="47"/>
      <c r="J75" s="47" t="s">
        <v>143</v>
      </c>
      <c r="K75" s="48"/>
      <c r="L75" s="47">
        <v>1140</v>
      </c>
      <c r="M75" s="47" t="s">
        <v>238</v>
      </c>
      <c r="N75" s="47"/>
      <c r="O75" s="49">
        <f>0+0</f>
        <v>0</v>
      </c>
      <c r="P75" s="50" t="s">
        <v>87</v>
      </c>
      <c r="Q75" s="49">
        <f>0+0</f>
        <v>0</v>
      </c>
      <c r="R75" s="49">
        <v>186</v>
      </c>
      <c r="S75" s="49">
        <v>1140</v>
      </c>
      <c r="T75" s="50"/>
      <c r="U75" s="50"/>
      <c r="V75" s="49"/>
      <c r="W75" s="49"/>
      <c r="X75" s="50">
        <v>1140</v>
      </c>
      <c r="Y75" s="50"/>
      <c r="Z75" s="50"/>
      <c r="AA75" s="50">
        <v>0</v>
      </c>
      <c r="AB75" s="50">
        <v>0</v>
      </c>
      <c r="AC75" s="50" t="s">
        <v>41</v>
      </c>
      <c r="AD75" s="50" t="s">
        <v>41</v>
      </c>
      <c r="AE75" s="51"/>
      <c r="AF75" s="51"/>
      <c r="AG75" s="51"/>
      <c r="AH75" s="51">
        <v>1140</v>
      </c>
      <c r="AI75" s="49"/>
      <c r="AJ75" s="49"/>
      <c r="AK75" s="49"/>
      <c r="AL75" s="49">
        <v>186</v>
      </c>
      <c r="AM75" s="49">
        <v>1140</v>
      </c>
      <c r="AN75" s="49">
        <v>186</v>
      </c>
      <c r="AO75" s="52" t="s">
        <v>19</v>
      </c>
      <c r="AP75" s="52" t="s">
        <v>19</v>
      </c>
      <c r="AQ75" s="52" t="s">
        <v>19</v>
      </c>
      <c r="AR75" s="52">
        <v>6.116</v>
      </c>
      <c r="AS75" s="8"/>
    </row>
    <row r="76" spans="1:45" ht="140.25">
      <c r="A76" s="44">
        <v>39</v>
      </c>
      <c r="B76" s="45" t="s">
        <v>239</v>
      </c>
      <c r="C76" s="46">
        <v>0.126</v>
      </c>
      <c r="D76" s="47">
        <v>4442.31</v>
      </c>
      <c r="E76" s="47" t="s">
        <v>240</v>
      </c>
      <c r="F76" s="47" t="s">
        <v>241</v>
      </c>
      <c r="G76" s="47">
        <v>560</v>
      </c>
      <c r="H76" s="47" t="s">
        <v>242</v>
      </c>
      <c r="I76" s="47" t="s">
        <v>243</v>
      </c>
      <c r="J76" s="47" t="s">
        <v>244</v>
      </c>
      <c r="K76" s="48" t="s">
        <v>245</v>
      </c>
      <c r="L76" s="47">
        <v>3526</v>
      </c>
      <c r="M76" s="47" t="s">
        <v>246</v>
      </c>
      <c r="N76" s="47" t="s">
        <v>247</v>
      </c>
      <c r="O76" s="49">
        <f>0+11</f>
        <v>11</v>
      </c>
      <c r="P76" s="50" t="s">
        <v>38</v>
      </c>
      <c r="Q76" s="49">
        <f>0+230</f>
        <v>230</v>
      </c>
      <c r="R76" s="49">
        <v>560</v>
      </c>
      <c r="S76" s="49">
        <v>3526</v>
      </c>
      <c r="T76" s="50" t="s">
        <v>80</v>
      </c>
      <c r="U76" s="50" t="s">
        <v>81</v>
      </c>
      <c r="V76" s="49">
        <v>278</v>
      </c>
      <c r="W76" s="49">
        <v>150</v>
      </c>
      <c r="X76" s="50">
        <v>3954</v>
      </c>
      <c r="Y76" s="50">
        <v>16</v>
      </c>
      <c r="Z76" s="50">
        <v>9</v>
      </c>
      <c r="AA76" s="50">
        <v>121</v>
      </c>
      <c r="AB76" s="50">
        <v>65</v>
      </c>
      <c r="AC76" s="50" t="s">
        <v>41</v>
      </c>
      <c r="AD76" s="50" t="s">
        <v>41</v>
      </c>
      <c r="AE76" s="51"/>
      <c r="AF76" s="51">
        <v>654</v>
      </c>
      <c r="AG76" s="51">
        <v>230</v>
      </c>
      <c r="AH76" s="51">
        <v>2872</v>
      </c>
      <c r="AI76" s="49"/>
      <c r="AJ76" s="49">
        <v>90</v>
      </c>
      <c r="AK76" s="49">
        <v>11</v>
      </c>
      <c r="AL76" s="49">
        <v>470</v>
      </c>
      <c r="AM76" s="49">
        <v>3526</v>
      </c>
      <c r="AN76" s="49">
        <v>560</v>
      </c>
      <c r="AO76" s="52">
        <v>21.13</v>
      </c>
      <c r="AP76" s="52">
        <v>7.261</v>
      </c>
      <c r="AQ76" s="52">
        <v>20.221</v>
      </c>
      <c r="AR76" s="52">
        <v>6.116</v>
      </c>
      <c r="AS76" s="8"/>
    </row>
    <row r="77" spans="1:45" ht="216.75">
      <c r="A77" s="44">
        <v>40</v>
      </c>
      <c r="B77" s="45" t="s">
        <v>248</v>
      </c>
      <c r="C77" s="46">
        <v>0.0576</v>
      </c>
      <c r="D77" s="47">
        <v>1598.3</v>
      </c>
      <c r="E77" s="47" t="s">
        <v>72</v>
      </c>
      <c r="F77" s="47" t="s">
        <v>73</v>
      </c>
      <c r="G77" s="47">
        <v>92</v>
      </c>
      <c r="H77" s="47" t="s">
        <v>249</v>
      </c>
      <c r="I77" s="47" t="s">
        <v>250</v>
      </c>
      <c r="J77" s="47" t="s">
        <v>76</v>
      </c>
      <c r="K77" s="48" t="s">
        <v>77</v>
      </c>
      <c r="L77" s="47">
        <v>722</v>
      </c>
      <c r="M77" s="47" t="s">
        <v>251</v>
      </c>
      <c r="N77" s="47" t="s">
        <v>252</v>
      </c>
      <c r="O77" s="49">
        <f>7+7</f>
        <v>14</v>
      </c>
      <c r="P77" s="50" t="s">
        <v>38</v>
      </c>
      <c r="Q77" s="49">
        <f>153+142</f>
        <v>295</v>
      </c>
      <c r="R77" s="49">
        <v>92</v>
      </c>
      <c r="S77" s="49">
        <v>722</v>
      </c>
      <c r="T77" s="50" t="s">
        <v>80</v>
      </c>
      <c r="U77" s="50" t="s">
        <v>81</v>
      </c>
      <c r="V77" s="49">
        <v>357</v>
      </c>
      <c r="W77" s="49">
        <v>192</v>
      </c>
      <c r="X77" s="50">
        <v>1271</v>
      </c>
      <c r="Y77" s="50">
        <v>20</v>
      </c>
      <c r="Z77" s="50">
        <v>11</v>
      </c>
      <c r="AA77" s="50">
        <v>121</v>
      </c>
      <c r="AB77" s="50">
        <v>65</v>
      </c>
      <c r="AC77" s="50" t="s">
        <v>41</v>
      </c>
      <c r="AD77" s="50" t="s">
        <v>41</v>
      </c>
      <c r="AE77" s="51">
        <v>153</v>
      </c>
      <c r="AF77" s="51">
        <v>561</v>
      </c>
      <c r="AG77" s="51">
        <v>142</v>
      </c>
      <c r="AH77" s="51">
        <v>8</v>
      </c>
      <c r="AI77" s="49">
        <v>7</v>
      </c>
      <c r="AJ77" s="49">
        <v>84</v>
      </c>
      <c r="AK77" s="49">
        <v>7</v>
      </c>
      <c r="AL77" s="49">
        <v>1</v>
      </c>
      <c r="AM77" s="49">
        <v>722</v>
      </c>
      <c r="AN77" s="49">
        <v>92</v>
      </c>
      <c r="AO77" s="52">
        <v>21.13</v>
      </c>
      <c r="AP77" s="52">
        <v>6.695</v>
      </c>
      <c r="AQ77" s="52">
        <v>20.238</v>
      </c>
      <c r="AR77" s="52">
        <v>8.111</v>
      </c>
      <c r="AS77" s="8"/>
    </row>
    <row r="78" spans="1:45" ht="38.25">
      <c r="A78" s="44">
        <v>41</v>
      </c>
      <c r="B78" s="45" t="s">
        <v>82</v>
      </c>
      <c r="C78" s="46">
        <v>7.03</v>
      </c>
      <c r="D78" s="47">
        <v>60</v>
      </c>
      <c r="E78" s="47" t="s">
        <v>83</v>
      </c>
      <c r="F78" s="47"/>
      <c r="G78" s="47">
        <v>422</v>
      </c>
      <c r="H78" s="47" t="s">
        <v>253</v>
      </c>
      <c r="I78" s="47"/>
      <c r="J78" s="47" t="s">
        <v>85</v>
      </c>
      <c r="K78" s="48"/>
      <c r="L78" s="47">
        <v>4985</v>
      </c>
      <c r="M78" s="47" t="s">
        <v>254</v>
      </c>
      <c r="N78" s="47"/>
      <c r="O78" s="49">
        <f>0+0</f>
        <v>0</v>
      </c>
      <c r="P78" s="50" t="s">
        <v>87</v>
      </c>
      <c r="Q78" s="49">
        <f>0+0</f>
        <v>0</v>
      </c>
      <c r="R78" s="49">
        <v>422</v>
      </c>
      <c r="S78" s="49">
        <v>4985</v>
      </c>
      <c r="T78" s="50"/>
      <c r="U78" s="50"/>
      <c r="V78" s="49"/>
      <c r="W78" s="49"/>
      <c r="X78" s="50">
        <v>4985</v>
      </c>
      <c r="Y78" s="50"/>
      <c r="Z78" s="50"/>
      <c r="AA78" s="50">
        <v>121</v>
      </c>
      <c r="AB78" s="50">
        <v>65</v>
      </c>
      <c r="AC78" s="50" t="s">
        <v>41</v>
      </c>
      <c r="AD78" s="50" t="s">
        <v>41</v>
      </c>
      <c r="AE78" s="51"/>
      <c r="AF78" s="51"/>
      <c r="AG78" s="51"/>
      <c r="AH78" s="51">
        <v>4985</v>
      </c>
      <c r="AI78" s="49"/>
      <c r="AJ78" s="49"/>
      <c r="AK78" s="49"/>
      <c r="AL78" s="49">
        <v>422</v>
      </c>
      <c r="AM78" s="49">
        <v>4985</v>
      </c>
      <c r="AN78" s="49">
        <v>422</v>
      </c>
      <c r="AO78" s="52" t="s">
        <v>19</v>
      </c>
      <c r="AP78" s="52" t="s">
        <v>19</v>
      </c>
      <c r="AQ78" s="52" t="s">
        <v>19</v>
      </c>
      <c r="AR78" s="52">
        <v>11.818</v>
      </c>
      <c r="AS78" s="8"/>
    </row>
    <row r="79" spans="1:45" ht="89.25">
      <c r="A79" s="44">
        <v>42</v>
      </c>
      <c r="B79" s="45" t="s">
        <v>255</v>
      </c>
      <c r="C79" s="46">
        <v>0.582</v>
      </c>
      <c r="D79" s="47">
        <v>4412.47</v>
      </c>
      <c r="E79" s="47" t="s">
        <v>89</v>
      </c>
      <c r="F79" s="47" t="s">
        <v>90</v>
      </c>
      <c r="G79" s="47">
        <v>2569</v>
      </c>
      <c r="H79" s="47" t="s">
        <v>256</v>
      </c>
      <c r="I79" s="47" t="s">
        <v>257</v>
      </c>
      <c r="J79" s="47" t="s">
        <v>93</v>
      </c>
      <c r="K79" s="48" t="s">
        <v>94</v>
      </c>
      <c r="L79" s="47">
        <v>19388</v>
      </c>
      <c r="M79" s="47" t="s">
        <v>258</v>
      </c>
      <c r="N79" s="47" t="s">
        <v>259</v>
      </c>
      <c r="O79" s="49">
        <f>375+6</f>
        <v>381</v>
      </c>
      <c r="P79" s="50" t="s">
        <v>38</v>
      </c>
      <c r="Q79" s="49">
        <f>7915+114</f>
        <v>8029</v>
      </c>
      <c r="R79" s="49">
        <v>2569</v>
      </c>
      <c r="S79" s="49">
        <v>19388</v>
      </c>
      <c r="T79" s="50" t="s">
        <v>80</v>
      </c>
      <c r="U79" s="50" t="s">
        <v>81</v>
      </c>
      <c r="V79" s="49">
        <v>9715</v>
      </c>
      <c r="W79" s="49">
        <v>5219</v>
      </c>
      <c r="X79" s="50">
        <v>34322</v>
      </c>
      <c r="Y79" s="50">
        <v>541</v>
      </c>
      <c r="Z79" s="50">
        <v>309</v>
      </c>
      <c r="AA79" s="50">
        <v>121</v>
      </c>
      <c r="AB79" s="50">
        <v>65</v>
      </c>
      <c r="AC79" s="50" t="s">
        <v>41</v>
      </c>
      <c r="AD79" s="50" t="s">
        <v>41</v>
      </c>
      <c r="AE79" s="51">
        <v>7915</v>
      </c>
      <c r="AF79" s="51">
        <v>340</v>
      </c>
      <c r="AG79" s="51">
        <v>114</v>
      </c>
      <c r="AH79" s="51">
        <v>11133</v>
      </c>
      <c r="AI79" s="49">
        <v>375</v>
      </c>
      <c r="AJ79" s="49">
        <v>46</v>
      </c>
      <c r="AK79" s="49">
        <v>6</v>
      </c>
      <c r="AL79" s="49">
        <v>2148</v>
      </c>
      <c r="AM79" s="49">
        <v>19388</v>
      </c>
      <c r="AN79" s="49">
        <v>2569</v>
      </c>
      <c r="AO79" s="52">
        <v>21.13</v>
      </c>
      <c r="AP79" s="52">
        <v>7.408</v>
      </c>
      <c r="AQ79" s="52">
        <v>20.232</v>
      </c>
      <c r="AR79" s="52">
        <v>5.184</v>
      </c>
      <c r="AS79" s="8"/>
    </row>
    <row r="80" spans="1:45" ht="38.25">
      <c r="A80" s="44">
        <v>43</v>
      </c>
      <c r="B80" s="45" t="s">
        <v>97</v>
      </c>
      <c r="C80" s="46">
        <v>-3.4338</v>
      </c>
      <c r="D80" s="47">
        <v>592.76</v>
      </c>
      <c r="E80" s="47" t="s">
        <v>98</v>
      </c>
      <c r="F80" s="47"/>
      <c r="G80" s="47">
        <v>-2035</v>
      </c>
      <c r="H80" s="47" t="s">
        <v>260</v>
      </c>
      <c r="I80" s="47"/>
      <c r="J80" s="47" t="s">
        <v>100</v>
      </c>
      <c r="K80" s="48"/>
      <c r="L80" s="47">
        <v>-10804</v>
      </c>
      <c r="M80" s="47" t="s">
        <v>261</v>
      </c>
      <c r="N80" s="47"/>
      <c r="O80" s="49">
        <f>0+0</f>
        <v>0</v>
      </c>
      <c r="P80" s="50" t="s">
        <v>87</v>
      </c>
      <c r="Q80" s="49">
        <f>0+0</f>
        <v>0</v>
      </c>
      <c r="R80" s="49">
        <v>-2035</v>
      </c>
      <c r="S80" s="49">
        <v>-10804</v>
      </c>
      <c r="T80" s="50"/>
      <c r="U80" s="50"/>
      <c r="V80" s="49"/>
      <c r="W80" s="49"/>
      <c r="X80" s="50">
        <v>-10804</v>
      </c>
      <c r="Y80" s="50"/>
      <c r="Z80" s="50"/>
      <c r="AA80" s="50">
        <v>0</v>
      </c>
      <c r="AB80" s="50">
        <v>0</v>
      </c>
      <c r="AC80" s="50" t="s">
        <v>41</v>
      </c>
      <c r="AD80" s="50" t="s">
        <v>41</v>
      </c>
      <c r="AE80" s="51"/>
      <c r="AF80" s="51"/>
      <c r="AG80" s="51"/>
      <c r="AH80" s="51">
        <v>-10804</v>
      </c>
      <c r="AI80" s="49"/>
      <c r="AJ80" s="49"/>
      <c r="AK80" s="49"/>
      <c r="AL80" s="49">
        <v>-2035</v>
      </c>
      <c r="AM80" s="49">
        <v>-10804</v>
      </c>
      <c r="AN80" s="49">
        <v>-2035</v>
      </c>
      <c r="AO80" s="52" t="s">
        <v>19</v>
      </c>
      <c r="AP80" s="52" t="s">
        <v>19</v>
      </c>
      <c r="AQ80" s="52" t="s">
        <v>19</v>
      </c>
      <c r="AR80" s="52">
        <v>5.308</v>
      </c>
      <c r="AS80" s="8"/>
    </row>
    <row r="81" spans="1:45" ht="38.25">
      <c r="A81" s="44">
        <v>44</v>
      </c>
      <c r="B81" s="45" t="s">
        <v>102</v>
      </c>
      <c r="C81" s="46">
        <v>3.26</v>
      </c>
      <c r="D81" s="47">
        <v>560</v>
      </c>
      <c r="E81" s="47" t="s">
        <v>103</v>
      </c>
      <c r="F81" s="47"/>
      <c r="G81" s="47">
        <v>1826</v>
      </c>
      <c r="H81" s="47" t="s">
        <v>262</v>
      </c>
      <c r="I81" s="47"/>
      <c r="J81" s="47" t="s">
        <v>105</v>
      </c>
      <c r="K81" s="48"/>
      <c r="L81" s="47">
        <v>8953</v>
      </c>
      <c r="M81" s="47" t="s">
        <v>263</v>
      </c>
      <c r="N81" s="47"/>
      <c r="O81" s="49">
        <f>0+0</f>
        <v>0</v>
      </c>
      <c r="P81" s="50" t="s">
        <v>87</v>
      </c>
      <c r="Q81" s="49">
        <f>0+0</f>
        <v>0</v>
      </c>
      <c r="R81" s="49">
        <v>1826</v>
      </c>
      <c r="S81" s="49">
        <v>8953</v>
      </c>
      <c r="T81" s="50"/>
      <c r="U81" s="50"/>
      <c r="V81" s="49"/>
      <c r="W81" s="49"/>
      <c r="X81" s="50">
        <v>8953</v>
      </c>
      <c r="Y81" s="50"/>
      <c r="Z81" s="50"/>
      <c r="AA81" s="50">
        <v>0</v>
      </c>
      <c r="AB81" s="50">
        <v>0</v>
      </c>
      <c r="AC81" s="50" t="s">
        <v>41</v>
      </c>
      <c r="AD81" s="50" t="s">
        <v>41</v>
      </c>
      <c r="AE81" s="51"/>
      <c r="AF81" s="51"/>
      <c r="AG81" s="51"/>
      <c r="AH81" s="51">
        <v>8953</v>
      </c>
      <c r="AI81" s="49"/>
      <c r="AJ81" s="49"/>
      <c r="AK81" s="49"/>
      <c r="AL81" s="49">
        <v>1826</v>
      </c>
      <c r="AM81" s="49">
        <v>8953</v>
      </c>
      <c r="AN81" s="49">
        <v>1826</v>
      </c>
      <c r="AO81" s="52" t="s">
        <v>19</v>
      </c>
      <c r="AP81" s="52" t="s">
        <v>19</v>
      </c>
      <c r="AQ81" s="52" t="s">
        <v>19</v>
      </c>
      <c r="AR81" s="52">
        <v>4.904</v>
      </c>
      <c r="AS81" s="8"/>
    </row>
    <row r="82" spans="1:45" ht="38.25">
      <c r="A82" s="44">
        <v>45</v>
      </c>
      <c r="B82" s="45" t="s">
        <v>107</v>
      </c>
      <c r="C82" s="46">
        <v>75</v>
      </c>
      <c r="D82" s="47">
        <v>33.26</v>
      </c>
      <c r="E82" s="47" t="s">
        <v>108</v>
      </c>
      <c r="F82" s="47"/>
      <c r="G82" s="47">
        <v>2495</v>
      </c>
      <c r="H82" s="47" t="s">
        <v>264</v>
      </c>
      <c r="I82" s="47"/>
      <c r="J82" s="47" t="s">
        <v>110</v>
      </c>
      <c r="K82" s="48"/>
      <c r="L82" s="47">
        <v>18609</v>
      </c>
      <c r="M82" s="47" t="s">
        <v>265</v>
      </c>
      <c r="N82" s="47"/>
      <c r="O82" s="49">
        <f>0+0</f>
        <v>0</v>
      </c>
      <c r="P82" s="50" t="s">
        <v>87</v>
      </c>
      <c r="Q82" s="49">
        <f>0+0</f>
        <v>0</v>
      </c>
      <c r="R82" s="49">
        <v>2495</v>
      </c>
      <c r="S82" s="49">
        <v>18609</v>
      </c>
      <c r="T82" s="50"/>
      <c r="U82" s="50"/>
      <c r="V82" s="49"/>
      <c r="W82" s="49"/>
      <c r="X82" s="50">
        <v>18609</v>
      </c>
      <c r="Y82" s="50"/>
      <c r="Z82" s="50"/>
      <c r="AA82" s="50">
        <v>0</v>
      </c>
      <c r="AB82" s="50">
        <v>0</v>
      </c>
      <c r="AC82" s="50" t="s">
        <v>41</v>
      </c>
      <c r="AD82" s="50" t="s">
        <v>41</v>
      </c>
      <c r="AE82" s="51"/>
      <c r="AF82" s="51"/>
      <c r="AG82" s="51"/>
      <c r="AH82" s="51">
        <v>18609</v>
      </c>
      <c r="AI82" s="49"/>
      <c r="AJ82" s="49"/>
      <c r="AK82" s="49"/>
      <c r="AL82" s="49">
        <v>2495</v>
      </c>
      <c r="AM82" s="49">
        <v>18609</v>
      </c>
      <c r="AN82" s="49">
        <v>2495</v>
      </c>
      <c r="AO82" s="52" t="s">
        <v>19</v>
      </c>
      <c r="AP82" s="52" t="s">
        <v>19</v>
      </c>
      <c r="AQ82" s="52" t="s">
        <v>19</v>
      </c>
      <c r="AR82" s="52">
        <v>7.46</v>
      </c>
      <c r="AS82" s="8"/>
    </row>
    <row r="83" spans="1:45" ht="76.5">
      <c r="A83" s="44">
        <v>46</v>
      </c>
      <c r="B83" s="45" t="s">
        <v>266</v>
      </c>
      <c r="C83" s="46">
        <v>0.1008</v>
      </c>
      <c r="D83" s="47">
        <v>39.1</v>
      </c>
      <c r="E83" s="47"/>
      <c r="F83" s="47" t="s">
        <v>113</v>
      </c>
      <c r="G83" s="47">
        <v>4</v>
      </c>
      <c r="H83" s="47"/>
      <c r="I83" s="47" t="s">
        <v>267</v>
      </c>
      <c r="J83" s="47">
        <v>21.13</v>
      </c>
      <c r="K83" s="48" t="s">
        <v>115</v>
      </c>
      <c r="L83" s="47">
        <v>32</v>
      </c>
      <c r="M83" s="47"/>
      <c r="N83" s="47" t="s">
        <v>268</v>
      </c>
      <c r="O83" s="49">
        <f>0+1</f>
        <v>1</v>
      </c>
      <c r="P83" s="50" t="s">
        <v>38</v>
      </c>
      <c r="Q83" s="49">
        <f>0+15</f>
        <v>15</v>
      </c>
      <c r="R83" s="49">
        <v>4</v>
      </c>
      <c r="S83" s="49">
        <v>32</v>
      </c>
      <c r="T83" s="50" t="s">
        <v>80</v>
      </c>
      <c r="U83" s="50" t="s">
        <v>81</v>
      </c>
      <c r="V83" s="49">
        <v>18</v>
      </c>
      <c r="W83" s="49">
        <v>10</v>
      </c>
      <c r="X83" s="50">
        <v>60</v>
      </c>
      <c r="Y83" s="50">
        <v>1</v>
      </c>
      <c r="Z83" s="50">
        <v>1</v>
      </c>
      <c r="AA83" s="50">
        <v>121</v>
      </c>
      <c r="AB83" s="50">
        <v>65</v>
      </c>
      <c r="AC83" s="50" t="s">
        <v>41</v>
      </c>
      <c r="AD83" s="50" t="s">
        <v>41</v>
      </c>
      <c r="AE83" s="51"/>
      <c r="AF83" s="51">
        <v>32</v>
      </c>
      <c r="AG83" s="51">
        <v>15</v>
      </c>
      <c r="AH83" s="51"/>
      <c r="AI83" s="49"/>
      <c r="AJ83" s="49">
        <v>4</v>
      </c>
      <c r="AK83" s="49">
        <v>1</v>
      </c>
      <c r="AL83" s="49"/>
      <c r="AM83" s="49">
        <v>32</v>
      </c>
      <c r="AN83" s="49">
        <v>4</v>
      </c>
      <c r="AO83" s="52">
        <v>21.13</v>
      </c>
      <c r="AP83" s="52">
        <v>8.151</v>
      </c>
      <c r="AQ83" s="52">
        <v>20.197</v>
      </c>
      <c r="AR83" s="52" t="s">
        <v>19</v>
      </c>
      <c r="AS83" s="8"/>
    </row>
    <row r="84" spans="1:45" ht="51">
      <c r="A84" s="44">
        <v>47</v>
      </c>
      <c r="B84" s="45" t="s">
        <v>117</v>
      </c>
      <c r="C84" s="46">
        <v>0.1038</v>
      </c>
      <c r="D84" s="47">
        <v>1487.6</v>
      </c>
      <c r="E84" s="47" t="s">
        <v>118</v>
      </c>
      <c r="F84" s="47"/>
      <c r="G84" s="47">
        <v>154</v>
      </c>
      <c r="H84" s="47" t="s">
        <v>269</v>
      </c>
      <c r="I84" s="47"/>
      <c r="J84" s="47" t="s">
        <v>120</v>
      </c>
      <c r="K84" s="48"/>
      <c r="L84" s="47">
        <v>1783</v>
      </c>
      <c r="M84" s="47" t="s">
        <v>270</v>
      </c>
      <c r="N84" s="47"/>
      <c r="O84" s="49">
        <f>0+0</f>
        <v>0</v>
      </c>
      <c r="P84" s="50" t="s">
        <v>87</v>
      </c>
      <c r="Q84" s="49">
        <f>0+0</f>
        <v>0</v>
      </c>
      <c r="R84" s="49">
        <v>154</v>
      </c>
      <c r="S84" s="49">
        <v>1783</v>
      </c>
      <c r="T84" s="50"/>
      <c r="U84" s="50"/>
      <c r="V84" s="49"/>
      <c r="W84" s="49"/>
      <c r="X84" s="50">
        <v>1783</v>
      </c>
      <c r="Y84" s="50"/>
      <c r="Z84" s="50"/>
      <c r="AA84" s="50">
        <v>0</v>
      </c>
      <c r="AB84" s="50">
        <v>0</v>
      </c>
      <c r="AC84" s="50" t="s">
        <v>41</v>
      </c>
      <c r="AD84" s="50" t="s">
        <v>41</v>
      </c>
      <c r="AE84" s="51"/>
      <c r="AF84" s="51"/>
      <c r="AG84" s="51"/>
      <c r="AH84" s="51">
        <v>1783</v>
      </c>
      <c r="AI84" s="49"/>
      <c r="AJ84" s="49"/>
      <c r="AK84" s="49"/>
      <c r="AL84" s="49">
        <v>154</v>
      </c>
      <c r="AM84" s="49">
        <v>1783</v>
      </c>
      <c r="AN84" s="49">
        <v>154</v>
      </c>
      <c r="AO84" s="52" t="s">
        <v>19</v>
      </c>
      <c r="AP84" s="52" t="s">
        <v>19</v>
      </c>
      <c r="AQ84" s="52" t="s">
        <v>19</v>
      </c>
      <c r="AR84" s="52">
        <v>11.549</v>
      </c>
      <c r="AS84" s="8"/>
    </row>
    <row r="85" spans="1:45" ht="114.75">
      <c r="A85" s="44">
        <v>48</v>
      </c>
      <c r="B85" s="45" t="s">
        <v>271</v>
      </c>
      <c r="C85" s="46">
        <v>0.126</v>
      </c>
      <c r="D85" s="47">
        <v>2984.49</v>
      </c>
      <c r="E85" s="47" t="s">
        <v>272</v>
      </c>
      <c r="F85" s="47" t="s">
        <v>273</v>
      </c>
      <c r="G85" s="47">
        <v>376</v>
      </c>
      <c r="H85" s="47" t="s">
        <v>274</v>
      </c>
      <c r="I85" s="47" t="s">
        <v>275</v>
      </c>
      <c r="J85" s="47" t="s">
        <v>276</v>
      </c>
      <c r="K85" s="48" t="s">
        <v>277</v>
      </c>
      <c r="L85" s="47">
        <v>3141</v>
      </c>
      <c r="M85" s="47" t="s">
        <v>278</v>
      </c>
      <c r="N85" s="47" t="s">
        <v>279</v>
      </c>
      <c r="O85" s="49">
        <f>46+33</f>
        <v>79</v>
      </c>
      <c r="P85" s="50" t="s">
        <v>38</v>
      </c>
      <c r="Q85" s="49">
        <f>981+671</f>
        <v>1652</v>
      </c>
      <c r="R85" s="49">
        <v>376</v>
      </c>
      <c r="S85" s="49">
        <v>3141</v>
      </c>
      <c r="T85" s="50" t="s">
        <v>80</v>
      </c>
      <c r="U85" s="50" t="s">
        <v>81</v>
      </c>
      <c r="V85" s="49">
        <v>1999</v>
      </c>
      <c r="W85" s="49">
        <v>1074</v>
      </c>
      <c r="X85" s="50">
        <v>6214</v>
      </c>
      <c r="Y85" s="50">
        <v>112</v>
      </c>
      <c r="Z85" s="50">
        <v>64</v>
      </c>
      <c r="AA85" s="50">
        <v>121</v>
      </c>
      <c r="AB85" s="50">
        <v>65</v>
      </c>
      <c r="AC85" s="50" t="s">
        <v>41</v>
      </c>
      <c r="AD85" s="50" t="s">
        <v>41</v>
      </c>
      <c r="AE85" s="51">
        <v>981</v>
      </c>
      <c r="AF85" s="51">
        <v>2029</v>
      </c>
      <c r="AG85" s="51">
        <v>671</v>
      </c>
      <c r="AH85" s="51">
        <v>131</v>
      </c>
      <c r="AI85" s="49">
        <v>46</v>
      </c>
      <c r="AJ85" s="49">
        <v>301</v>
      </c>
      <c r="AK85" s="49">
        <v>33</v>
      </c>
      <c r="AL85" s="49">
        <v>29</v>
      </c>
      <c r="AM85" s="49">
        <v>3141</v>
      </c>
      <c r="AN85" s="49">
        <v>376</v>
      </c>
      <c r="AO85" s="52">
        <v>21.13</v>
      </c>
      <c r="AP85" s="52">
        <v>6.752</v>
      </c>
      <c r="AQ85" s="52">
        <v>20.247</v>
      </c>
      <c r="AR85" s="52">
        <v>4.494</v>
      </c>
      <c r="AS85" s="8"/>
    </row>
    <row r="86" spans="1:45" ht="127.5">
      <c r="A86" s="44">
        <v>49</v>
      </c>
      <c r="B86" s="45" t="s">
        <v>280</v>
      </c>
      <c r="C86" s="46">
        <v>0.126</v>
      </c>
      <c r="D86" s="47">
        <v>15.88</v>
      </c>
      <c r="E86" s="47">
        <v>3.48</v>
      </c>
      <c r="F86" s="47">
        <v>12.4</v>
      </c>
      <c r="G86" s="47">
        <v>2</v>
      </c>
      <c r="H86" s="47"/>
      <c r="I86" s="47">
        <v>2</v>
      </c>
      <c r="J86" s="47">
        <v>21.13</v>
      </c>
      <c r="K86" s="48">
        <v>0.732</v>
      </c>
      <c r="L86" s="47">
        <v>10</v>
      </c>
      <c r="M86" s="47">
        <v>9</v>
      </c>
      <c r="N86" s="47">
        <v>1</v>
      </c>
      <c r="O86" s="49">
        <f>0+0</f>
        <v>0</v>
      </c>
      <c r="P86" s="50" t="s">
        <v>38</v>
      </c>
      <c r="Q86" s="49">
        <f>9+0</f>
        <v>9</v>
      </c>
      <c r="R86" s="49">
        <v>2</v>
      </c>
      <c r="S86" s="49">
        <v>10</v>
      </c>
      <c r="T86" s="50" t="s">
        <v>80</v>
      </c>
      <c r="U86" s="50" t="s">
        <v>81</v>
      </c>
      <c r="V86" s="49">
        <v>11</v>
      </c>
      <c r="W86" s="49">
        <v>6</v>
      </c>
      <c r="X86" s="50">
        <v>27</v>
      </c>
      <c r="Y86" s="50"/>
      <c r="Z86" s="50"/>
      <c r="AA86" s="50">
        <v>121</v>
      </c>
      <c r="AB86" s="50">
        <v>65</v>
      </c>
      <c r="AC86" s="50" t="s">
        <v>41</v>
      </c>
      <c r="AD86" s="50" t="s">
        <v>41</v>
      </c>
      <c r="AE86" s="51">
        <v>9</v>
      </c>
      <c r="AF86" s="51">
        <v>1</v>
      </c>
      <c r="AG86" s="51"/>
      <c r="AH86" s="51"/>
      <c r="AI86" s="49"/>
      <c r="AJ86" s="49">
        <v>2</v>
      </c>
      <c r="AK86" s="49"/>
      <c r="AL86" s="49"/>
      <c r="AM86" s="49">
        <v>10</v>
      </c>
      <c r="AN86" s="49">
        <v>2</v>
      </c>
      <c r="AO86" s="52">
        <v>21.13</v>
      </c>
      <c r="AP86" s="52">
        <v>0.732</v>
      </c>
      <c r="AQ86" s="52" t="s">
        <v>19</v>
      </c>
      <c r="AR86" s="52" t="s">
        <v>19</v>
      </c>
      <c r="AS86" s="8"/>
    </row>
    <row r="87" spans="1:45" ht="51">
      <c r="A87" s="44">
        <v>50</v>
      </c>
      <c r="B87" s="45" t="s">
        <v>281</v>
      </c>
      <c r="C87" s="46">
        <v>0.0021</v>
      </c>
      <c r="D87" s="47">
        <v>1690</v>
      </c>
      <c r="E87" s="47" t="s">
        <v>282</v>
      </c>
      <c r="F87" s="47"/>
      <c r="G87" s="47">
        <v>4</v>
      </c>
      <c r="H87" s="47" t="s">
        <v>283</v>
      </c>
      <c r="I87" s="47"/>
      <c r="J87" s="47" t="s">
        <v>284</v>
      </c>
      <c r="K87" s="48"/>
      <c r="L87" s="47">
        <v>33</v>
      </c>
      <c r="M87" s="47" t="s">
        <v>285</v>
      </c>
      <c r="N87" s="47"/>
      <c r="O87" s="49">
        <f>0+0</f>
        <v>0</v>
      </c>
      <c r="P87" s="50" t="s">
        <v>87</v>
      </c>
      <c r="Q87" s="49">
        <f>0+0</f>
        <v>0</v>
      </c>
      <c r="R87" s="49">
        <v>4</v>
      </c>
      <c r="S87" s="49">
        <v>33</v>
      </c>
      <c r="T87" s="50"/>
      <c r="U87" s="50"/>
      <c r="V87" s="49"/>
      <c r="W87" s="49"/>
      <c r="X87" s="50">
        <v>33</v>
      </c>
      <c r="Y87" s="50"/>
      <c r="Z87" s="50"/>
      <c r="AA87" s="50">
        <v>0</v>
      </c>
      <c r="AB87" s="50">
        <v>0</v>
      </c>
      <c r="AC87" s="50" t="s">
        <v>41</v>
      </c>
      <c r="AD87" s="50" t="s">
        <v>41</v>
      </c>
      <c r="AE87" s="51"/>
      <c r="AF87" s="51"/>
      <c r="AG87" s="51"/>
      <c r="AH87" s="51">
        <v>33</v>
      </c>
      <c r="AI87" s="49"/>
      <c r="AJ87" s="49"/>
      <c r="AK87" s="49"/>
      <c r="AL87" s="49">
        <v>4</v>
      </c>
      <c r="AM87" s="49">
        <v>33</v>
      </c>
      <c r="AN87" s="49">
        <v>4</v>
      </c>
      <c r="AO87" s="52" t="s">
        <v>19</v>
      </c>
      <c r="AP87" s="52" t="s">
        <v>19</v>
      </c>
      <c r="AQ87" s="52" t="s">
        <v>19</v>
      </c>
      <c r="AR87" s="52">
        <v>9.245</v>
      </c>
      <c r="AS87" s="8"/>
    </row>
    <row r="88" spans="1:45" ht="76.5">
      <c r="A88" s="44">
        <v>51</v>
      </c>
      <c r="B88" s="45" t="s">
        <v>159</v>
      </c>
      <c r="C88" s="46">
        <v>18.27</v>
      </c>
      <c r="D88" s="47">
        <v>512.4</v>
      </c>
      <c r="E88" s="47" t="s">
        <v>160</v>
      </c>
      <c r="F88" s="47"/>
      <c r="G88" s="47">
        <v>9362</v>
      </c>
      <c r="H88" s="47" t="s">
        <v>286</v>
      </c>
      <c r="I88" s="47"/>
      <c r="J88" s="47" t="s">
        <v>162</v>
      </c>
      <c r="K88" s="48"/>
      <c r="L88" s="47">
        <v>61009</v>
      </c>
      <c r="M88" s="47" t="s">
        <v>287</v>
      </c>
      <c r="N88" s="47"/>
      <c r="O88" s="49">
        <f>0+0</f>
        <v>0</v>
      </c>
      <c r="P88" s="50" t="s">
        <v>87</v>
      </c>
      <c r="Q88" s="49">
        <f>0+0</f>
        <v>0</v>
      </c>
      <c r="R88" s="49">
        <v>9362</v>
      </c>
      <c r="S88" s="49">
        <v>61009</v>
      </c>
      <c r="T88" s="50"/>
      <c r="U88" s="50"/>
      <c r="V88" s="49"/>
      <c r="W88" s="49"/>
      <c r="X88" s="50">
        <v>61009</v>
      </c>
      <c r="Y88" s="50"/>
      <c r="Z88" s="50"/>
      <c r="AA88" s="50">
        <v>0</v>
      </c>
      <c r="AB88" s="50">
        <v>0</v>
      </c>
      <c r="AC88" s="50" t="s">
        <v>41</v>
      </c>
      <c r="AD88" s="50" t="s">
        <v>41</v>
      </c>
      <c r="AE88" s="51"/>
      <c r="AF88" s="51"/>
      <c r="AG88" s="51"/>
      <c r="AH88" s="51">
        <v>61009</v>
      </c>
      <c r="AI88" s="49"/>
      <c r="AJ88" s="49"/>
      <c r="AK88" s="49"/>
      <c r="AL88" s="49">
        <v>9362</v>
      </c>
      <c r="AM88" s="49">
        <v>61009</v>
      </c>
      <c r="AN88" s="49">
        <v>9362</v>
      </c>
      <c r="AO88" s="52" t="s">
        <v>19</v>
      </c>
      <c r="AP88" s="52" t="s">
        <v>19</v>
      </c>
      <c r="AQ88" s="52" t="s">
        <v>19</v>
      </c>
      <c r="AR88" s="52">
        <v>6.517</v>
      </c>
      <c r="AS88" s="8"/>
    </row>
    <row r="89" spans="1:45" ht="12.75">
      <c r="A89" s="85" t="s">
        <v>63</v>
      </c>
      <c r="B89" s="86"/>
      <c r="C89" s="86"/>
      <c r="D89" s="86"/>
      <c r="E89" s="86"/>
      <c r="F89" s="86"/>
      <c r="G89" s="73">
        <v>22633</v>
      </c>
      <c r="H89" s="47"/>
      <c r="I89" s="47"/>
      <c r="J89" s="47"/>
      <c r="K89" s="48"/>
      <c r="L89" s="73">
        <v>181140</v>
      </c>
      <c r="M89" s="47"/>
      <c r="N89" s="47"/>
      <c r="O89" s="53" t="s">
        <v>56</v>
      </c>
      <c r="P89" s="54" t="s">
        <v>56</v>
      </c>
      <c r="Q89" s="53" t="s">
        <v>56</v>
      </c>
      <c r="R89" s="53" t="s">
        <v>56</v>
      </c>
      <c r="S89" s="53" t="s">
        <v>56</v>
      </c>
      <c r="T89" s="54" t="s">
        <v>56</v>
      </c>
      <c r="U89" s="54" t="s">
        <v>56</v>
      </c>
      <c r="V89" s="53" t="s">
        <v>56</v>
      </c>
      <c r="W89" s="53" t="s">
        <v>56</v>
      </c>
      <c r="X89" s="54" t="s">
        <v>56</v>
      </c>
      <c r="Y89" s="54" t="s">
        <v>56</v>
      </c>
      <c r="Z89" s="54" t="s">
        <v>56</v>
      </c>
      <c r="AA89" s="54" t="s">
        <v>56</v>
      </c>
      <c r="AB89" s="54" t="s">
        <v>56</v>
      </c>
      <c r="AC89" s="54" t="s">
        <v>56</v>
      </c>
      <c r="AD89" s="54" t="s">
        <v>56</v>
      </c>
      <c r="AE89" s="55" t="s">
        <v>56</v>
      </c>
      <c r="AF89" s="55" t="s">
        <v>56</v>
      </c>
      <c r="AG89" s="55" t="s">
        <v>56</v>
      </c>
      <c r="AH89" s="55" t="s">
        <v>56</v>
      </c>
      <c r="AI89" s="53" t="s">
        <v>56</v>
      </c>
      <c r="AJ89" s="53" t="s">
        <v>56</v>
      </c>
      <c r="AK89" s="53" t="s">
        <v>56</v>
      </c>
      <c r="AL89" s="53" t="s">
        <v>56</v>
      </c>
      <c r="AM89" s="53"/>
      <c r="AN89" s="53"/>
      <c r="AO89" s="56" t="s">
        <v>56</v>
      </c>
      <c r="AP89" s="56" t="s">
        <v>56</v>
      </c>
      <c r="AQ89" s="56" t="s">
        <v>56</v>
      </c>
      <c r="AR89" s="56" t="s">
        <v>56</v>
      </c>
      <c r="AS89" s="8"/>
    </row>
    <row r="90" spans="1:45" ht="42" customHeight="1">
      <c r="A90" s="85" t="s">
        <v>337</v>
      </c>
      <c r="B90" s="86"/>
      <c r="C90" s="86"/>
      <c r="D90" s="86"/>
      <c r="E90" s="86"/>
      <c r="F90" s="86"/>
      <c r="G90" s="73"/>
      <c r="H90" s="47"/>
      <c r="I90" s="47"/>
      <c r="J90" s="47"/>
      <c r="K90" s="48"/>
      <c r="L90" s="73">
        <v>246495</v>
      </c>
      <c r="M90" s="47"/>
      <c r="N90" s="47"/>
      <c r="O90" s="53" t="s">
        <v>56</v>
      </c>
      <c r="P90" s="54" t="s">
        <v>56</v>
      </c>
      <c r="Q90" s="53" t="s">
        <v>56</v>
      </c>
      <c r="R90" s="53" t="s">
        <v>56</v>
      </c>
      <c r="S90" s="53" t="s">
        <v>56</v>
      </c>
      <c r="T90" s="54" t="s">
        <v>56</v>
      </c>
      <c r="U90" s="54" t="s">
        <v>56</v>
      </c>
      <c r="V90" s="53" t="s">
        <v>56</v>
      </c>
      <c r="W90" s="53" t="s">
        <v>56</v>
      </c>
      <c r="X90" s="54" t="s">
        <v>56</v>
      </c>
      <c r="Y90" s="54" t="s">
        <v>56</v>
      </c>
      <c r="Z90" s="54" t="s">
        <v>56</v>
      </c>
      <c r="AA90" s="54" t="s">
        <v>56</v>
      </c>
      <c r="AB90" s="54" t="s">
        <v>56</v>
      </c>
      <c r="AC90" s="54" t="s">
        <v>56</v>
      </c>
      <c r="AD90" s="54" t="s">
        <v>56</v>
      </c>
      <c r="AE90" s="55" t="s">
        <v>56</v>
      </c>
      <c r="AF90" s="55" t="s">
        <v>56</v>
      </c>
      <c r="AG90" s="55" t="s">
        <v>56</v>
      </c>
      <c r="AH90" s="55" t="s">
        <v>56</v>
      </c>
      <c r="AI90" s="53" t="s">
        <v>56</v>
      </c>
      <c r="AJ90" s="53" t="s">
        <v>56</v>
      </c>
      <c r="AK90" s="53" t="s">
        <v>56</v>
      </c>
      <c r="AL90" s="53" t="s">
        <v>56</v>
      </c>
      <c r="AM90" s="53"/>
      <c r="AN90" s="53"/>
      <c r="AO90" s="56" t="s">
        <v>56</v>
      </c>
      <c r="AP90" s="56" t="s">
        <v>56</v>
      </c>
      <c r="AQ90" s="56" t="s">
        <v>56</v>
      </c>
      <c r="AR90" s="56" t="s">
        <v>56</v>
      </c>
      <c r="AS90" s="8"/>
    </row>
    <row r="91" spans="1:45" ht="12.75">
      <c r="A91" s="83" t="s">
        <v>288</v>
      </c>
      <c r="B91" s="84"/>
      <c r="C91" s="84"/>
      <c r="D91" s="84"/>
      <c r="E91" s="84"/>
      <c r="F91" s="84"/>
      <c r="G91" s="74">
        <v>22633</v>
      </c>
      <c r="H91" s="57"/>
      <c r="I91" s="57"/>
      <c r="J91" s="57"/>
      <c r="K91" s="58"/>
      <c r="L91" s="74">
        <v>246495</v>
      </c>
      <c r="M91" s="57"/>
      <c r="N91" s="57"/>
      <c r="O91" s="59" t="s">
        <v>56</v>
      </c>
      <c r="P91" s="60" t="s">
        <v>56</v>
      </c>
      <c r="Q91" s="59" t="s">
        <v>56</v>
      </c>
      <c r="R91" s="59" t="s">
        <v>56</v>
      </c>
      <c r="S91" s="59" t="s">
        <v>56</v>
      </c>
      <c r="T91" s="60" t="s">
        <v>56</v>
      </c>
      <c r="U91" s="60" t="s">
        <v>56</v>
      </c>
      <c r="V91" s="59" t="s">
        <v>56</v>
      </c>
      <c r="W91" s="59" t="s">
        <v>56</v>
      </c>
      <c r="X91" s="60" t="s">
        <v>56</v>
      </c>
      <c r="Y91" s="60" t="s">
        <v>56</v>
      </c>
      <c r="Z91" s="60" t="s">
        <v>56</v>
      </c>
      <c r="AA91" s="60" t="s">
        <v>56</v>
      </c>
      <c r="AB91" s="60" t="s">
        <v>56</v>
      </c>
      <c r="AC91" s="60" t="s">
        <v>56</v>
      </c>
      <c r="AD91" s="60" t="s">
        <v>56</v>
      </c>
      <c r="AE91" s="61" t="s">
        <v>56</v>
      </c>
      <c r="AF91" s="61" t="s">
        <v>56</v>
      </c>
      <c r="AG91" s="61" t="s">
        <v>56</v>
      </c>
      <c r="AH91" s="61" t="s">
        <v>56</v>
      </c>
      <c r="AI91" s="59" t="s">
        <v>56</v>
      </c>
      <c r="AJ91" s="59" t="s">
        <v>56</v>
      </c>
      <c r="AK91" s="59" t="s">
        <v>56</v>
      </c>
      <c r="AL91" s="59" t="s">
        <v>56</v>
      </c>
      <c r="AM91" s="59"/>
      <c r="AN91" s="59"/>
      <c r="AO91" s="62" t="s">
        <v>56</v>
      </c>
      <c r="AP91" s="62" t="s">
        <v>56</v>
      </c>
      <c r="AQ91" s="62" t="s">
        <v>56</v>
      </c>
      <c r="AR91" s="62" t="s">
        <v>56</v>
      </c>
      <c r="AS91" s="8"/>
    </row>
    <row r="92" spans="1:45" ht="21" customHeight="1">
      <c r="A92" s="95" t="s">
        <v>289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8"/>
    </row>
    <row r="93" spans="1:45" ht="17.25" customHeight="1">
      <c r="A93" s="93" t="s">
        <v>290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8"/>
    </row>
    <row r="94" spans="1:45" ht="216.75">
      <c r="A94" s="44">
        <v>52</v>
      </c>
      <c r="B94" s="45" t="s">
        <v>291</v>
      </c>
      <c r="C94" s="46">
        <v>0.22</v>
      </c>
      <c r="D94" s="47">
        <v>620.15</v>
      </c>
      <c r="E94" s="47">
        <v>311.98</v>
      </c>
      <c r="F94" s="47" t="s">
        <v>292</v>
      </c>
      <c r="G94" s="47">
        <v>137</v>
      </c>
      <c r="H94" s="47">
        <v>69</v>
      </c>
      <c r="I94" s="47" t="s">
        <v>293</v>
      </c>
      <c r="J94" s="47" t="s">
        <v>182</v>
      </c>
      <c r="K94" s="48" t="s">
        <v>183</v>
      </c>
      <c r="L94" s="47">
        <v>1938</v>
      </c>
      <c r="M94" s="47">
        <v>1450</v>
      </c>
      <c r="N94" s="47" t="s">
        <v>294</v>
      </c>
      <c r="O94" s="49">
        <f>69+8</f>
        <v>77</v>
      </c>
      <c r="P94" s="50" t="s">
        <v>38</v>
      </c>
      <c r="Q94" s="49">
        <f>1450+168</f>
        <v>1618</v>
      </c>
      <c r="R94" s="49">
        <v>137</v>
      </c>
      <c r="S94" s="49">
        <v>1938</v>
      </c>
      <c r="T94" s="50" t="s">
        <v>174</v>
      </c>
      <c r="U94" s="50" t="s">
        <v>175</v>
      </c>
      <c r="V94" s="49">
        <v>1440</v>
      </c>
      <c r="W94" s="49">
        <v>712</v>
      </c>
      <c r="X94" s="50">
        <v>4090</v>
      </c>
      <c r="Y94" s="50">
        <v>81</v>
      </c>
      <c r="Z94" s="50">
        <v>42</v>
      </c>
      <c r="AA94" s="50">
        <v>80</v>
      </c>
      <c r="AB94" s="50">
        <v>44</v>
      </c>
      <c r="AC94" s="50" t="s">
        <v>41</v>
      </c>
      <c r="AD94" s="50" t="s">
        <v>41</v>
      </c>
      <c r="AE94" s="51">
        <v>1450</v>
      </c>
      <c r="AF94" s="51">
        <v>488</v>
      </c>
      <c r="AG94" s="51">
        <v>168</v>
      </c>
      <c r="AH94" s="51"/>
      <c r="AI94" s="49">
        <v>69</v>
      </c>
      <c r="AJ94" s="49">
        <v>68</v>
      </c>
      <c r="AK94" s="49">
        <v>8</v>
      </c>
      <c r="AL94" s="49"/>
      <c r="AM94" s="49">
        <v>1938</v>
      </c>
      <c r="AN94" s="49">
        <v>137</v>
      </c>
      <c r="AO94" s="52">
        <v>21.13</v>
      </c>
      <c r="AP94" s="52">
        <v>7.198</v>
      </c>
      <c r="AQ94" s="52">
        <v>20.207</v>
      </c>
      <c r="AR94" s="52">
        <v>5.62</v>
      </c>
      <c r="AS94" s="8"/>
    </row>
    <row r="95" spans="1:45" ht="63.75">
      <c r="A95" s="63">
        <v>53</v>
      </c>
      <c r="B95" s="64" t="s">
        <v>295</v>
      </c>
      <c r="C95" s="65">
        <v>0.2</v>
      </c>
      <c r="D95" s="66">
        <v>1091.82</v>
      </c>
      <c r="E95" s="66" t="s">
        <v>296</v>
      </c>
      <c r="F95" s="66"/>
      <c r="G95" s="66">
        <v>218</v>
      </c>
      <c r="H95" s="66" t="s">
        <v>297</v>
      </c>
      <c r="I95" s="66"/>
      <c r="J95" s="66" t="s">
        <v>110</v>
      </c>
      <c r="K95" s="67"/>
      <c r="L95" s="66">
        <v>1629</v>
      </c>
      <c r="M95" s="66" t="s">
        <v>298</v>
      </c>
      <c r="N95" s="66"/>
      <c r="O95" s="68">
        <f>0+0</f>
        <v>0</v>
      </c>
      <c r="P95" s="69" t="s">
        <v>299</v>
      </c>
      <c r="Q95" s="68">
        <f>0+0</f>
        <v>0</v>
      </c>
      <c r="R95" s="68">
        <v>218</v>
      </c>
      <c r="S95" s="68">
        <v>1629</v>
      </c>
      <c r="T95" s="69"/>
      <c r="U95" s="69"/>
      <c r="V95" s="68"/>
      <c r="W95" s="68"/>
      <c r="X95" s="69">
        <v>1629</v>
      </c>
      <c r="Y95" s="69"/>
      <c r="Z95" s="69"/>
      <c r="AA95" s="69">
        <v>0</v>
      </c>
      <c r="AB95" s="69">
        <v>0</v>
      </c>
      <c r="AC95" s="69" t="s">
        <v>41</v>
      </c>
      <c r="AD95" s="69" t="s">
        <v>41</v>
      </c>
      <c r="AE95" s="70"/>
      <c r="AF95" s="70"/>
      <c r="AG95" s="70"/>
      <c r="AH95" s="70">
        <v>1629</v>
      </c>
      <c r="AI95" s="68"/>
      <c r="AJ95" s="68"/>
      <c r="AK95" s="68"/>
      <c r="AL95" s="68">
        <v>218</v>
      </c>
      <c r="AM95" s="68">
        <v>1629</v>
      </c>
      <c r="AN95" s="68">
        <v>218</v>
      </c>
      <c r="AO95" s="71" t="s">
        <v>19</v>
      </c>
      <c r="AP95" s="71" t="s">
        <v>19</v>
      </c>
      <c r="AQ95" s="71" t="s">
        <v>19</v>
      </c>
      <c r="AR95" s="71">
        <v>7.46</v>
      </c>
      <c r="AS95" s="8"/>
    </row>
    <row r="96" spans="1:45" ht="204">
      <c r="A96" s="44">
        <v>54</v>
      </c>
      <c r="B96" s="45" t="s">
        <v>300</v>
      </c>
      <c r="C96" s="46">
        <v>0.15</v>
      </c>
      <c r="D96" s="47">
        <v>620.15</v>
      </c>
      <c r="E96" s="47">
        <v>311.98</v>
      </c>
      <c r="F96" s="47" t="s">
        <v>292</v>
      </c>
      <c r="G96" s="47">
        <v>93</v>
      </c>
      <c r="H96" s="47">
        <v>47</v>
      </c>
      <c r="I96" s="47" t="s">
        <v>257</v>
      </c>
      <c r="J96" s="47" t="s">
        <v>182</v>
      </c>
      <c r="K96" s="48" t="s">
        <v>183</v>
      </c>
      <c r="L96" s="47">
        <v>1322</v>
      </c>
      <c r="M96" s="47">
        <v>989</v>
      </c>
      <c r="N96" s="47" t="s">
        <v>301</v>
      </c>
      <c r="O96" s="49">
        <f>47+6</f>
        <v>53</v>
      </c>
      <c r="P96" s="50" t="s">
        <v>38</v>
      </c>
      <c r="Q96" s="49">
        <f>989+115</f>
        <v>1104</v>
      </c>
      <c r="R96" s="49">
        <v>93</v>
      </c>
      <c r="S96" s="49">
        <v>1322</v>
      </c>
      <c r="T96" s="50" t="s">
        <v>174</v>
      </c>
      <c r="U96" s="50" t="s">
        <v>175</v>
      </c>
      <c r="V96" s="49">
        <v>983</v>
      </c>
      <c r="W96" s="49">
        <v>486</v>
      </c>
      <c r="X96" s="50">
        <v>2791</v>
      </c>
      <c r="Y96" s="50">
        <v>56</v>
      </c>
      <c r="Z96" s="50">
        <v>29</v>
      </c>
      <c r="AA96" s="50">
        <v>80</v>
      </c>
      <c r="AB96" s="50">
        <v>44</v>
      </c>
      <c r="AC96" s="50" t="s">
        <v>41</v>
      </c>
      <c r="AD96" s="50" t="s">
        <v>41</v>
      </c>
      <c r="AE96" s="51">
        <v>989</v>
      </c>
      <c r="AF96" s="51">
        <v>333</v>
      </c>
      <c r="AG96" s="51">
        <v>115</v>
      </c>
      <c r="AH96" s="51"/>
      <c r="AI96" s="49">
        <v>47</v>
      </c>
      <c r="AJ96" s="49">
        <v>46</v>
      </c>
      <c r="AK96" s="49">
        <v>6</v>
      </c>
      <c r="AL96" s="49"/>
      <c r="AM96" s="49">
        <v>1322</v>
      </c>
      <c r="AN96" s="49">
        <v>93</v>
      </c>
      <c r="AO96" s="52">
        <v>21.13</v>
      </c>
      <c r="AP96" s="52">
        <v>7.198</v>
      </c>
      <c r="AQ96" s="52">
        <v>20.207</v>
      </c>
      <c r="AR96" s="52">
        <v>5.62</v>
      </c>
      <c r="AS96" s="8"/>
    </row>
    <row r="97" spans="1:45" ht="17.25" customHeight="1">
      <c r="A97" s="93" t="s">
        <v>302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8"/>
    </row>
    <row r="98" spans="1:45" ht="102">
      <c r="A98" s="44">
        <v>55</v>
      </c>
      <c r="B98" s="45" t="s">
        <v>303</v>
      </c>
      <c r="C98" s="46">
        <v>0.0437</v>
      </c>
      <c r="D98" s="47">
        <v>2184</v>
      </c>
      <c r="E98" s="47">
        <v>2184</v>
      </c>
      <c r="F98" s="47"/>
      <c r="G98" s="47">
        <v>95</v>
      </c>
      <c r="H98" s="47">
        <v>95</v>
      </c>
      <c r="I98" s="47"/>
      <c r="J98" s="47">
        <v>21.13</v>
      </c>
      <c r="K98" s="48"/>
      <c r="L98" s="47">
        <v>2017</v>
      </c>
      <c r="M98" s="47">
        <v>2017</v>
      </c>
      <c r="N98" s="47"/>
      <c r="O98" s="49">
        <f>95+0</f>
        <v>95</v>
      </c>
      <c r="P98" s="50" t="s">
        <v>38</v>
      </c>
      <c r="Q98" s="49">
        <f>2017+0</f>
        <v>2017</v>
      </c>
      <c r="R98" s="49">
        <v>95</v>
      </c>
      <c r="S98" s="49">
        <v>2017</v>
      </c>
      <c r="T98" s="50" t="s">
        <v>68</v>
      </c>
      <c r="U98" s="50" t="s">
        <v>69</v>
      </c>
      <c r="V98" s="49">
        <v>1372</v>
      </c>
      <c r="W98" s="49">
        <v>625</v>
      </c>
      <c r="X98" s="50">
        <v>4014</v>
      </c>
      <c r="Y98" s="50">
        <v>76</v>
      </c>
      <c r="Z98" s="50">
        <v>36</v>
      </c>
      <c r="AA98" s="50">
        <v>61</v>
      </c>
      <c r="AB98" s="50">
        <v>31</v>
      </c>
      <c r="AC98" s="50" t="s">
        <v>41</v>
      </c>
      <c r="AD98" s="50" t="s">
        <v>41</v>
      </c>
      <c r="AE98" s="51">
        <v>2017</v>
      </c>
      <c r="AF98" s="51"/>
      <c r="AG98" s="51"/>
      <c r="AH98" s="51"/>
      <c r="AI98" s="49">
        <v>95</v>
      </c>
      <c r="AJ98" s="49"/>
      <c r="AK98" s="49"/>
      <c r="AL98" s="49"/>
      <c r="AM98" s="49">
        <v>2017</v>
      </c>
      <c r="AN98" s="49">
        <v>95</v>
      </c>
      <c r="AO98" s="52">
        <v>21.13</v>
      </c>
      <c r="AP98" s="52" t="s">
        <v>19</v>
      </c>
      <c r="AQ98" s="52" t="s">
        <v>19</v>
      </c>
      <c r="AR98" s="52" t="s">
        <v>19</v>
      </c>
      <c r="AS98" s="8"/>
    </row>
    <row r="99" spans="1:45" ht="76.5">
      <c r="A99" s="44">
        <v>56</v>
      </c>
      <c r="B99" s="45" t="s">
        <v>304</v>
      </c>
      <c r="C99" s="46">
        <v>0.0437</v>
      </c>
      <c r="D99" s="47">
        <v>3897.23</v>
      </c>
      <c r="E99" s="47" t="s">
        <v>167</v>
      </c>
      <c r="F99" s="47" t="s">
        <v>168</v>
      </c>
      <c r="G99" s="47">
        <v>170</v>
      </c>
      <c r="H99" s="47" t="s">
        <v>305</v>
      </c>
      <c r="I99" s="47" t="s">
        <v>306</v>
      </c>
      <c r="J99" s="47" t="s">
        <v>170</v>
      </c>
      <c r="K99" s="48" t="s">
        <v>171</v>
      </c>
      <c r="L99" s="47">
        <v>2086</v>
      </c>
      <c r="M99" s="47" t="s">
        <v>307</v>
      </c>
      <c r="N99" s="47" t="s">
        <v>308</v>
      </c>
      <c r="O99" s="49">
        <f>61+11</f>
        <v>72</v>
      </c>
      <c r="P99" s="50" t="s">
        <v>38</v>
      </c>
      <c r="Q99" s="49">
        <f>1296+216</f>
        <v>1512</v>
      </c>
      <c r="R99" s="49">
        <v>170</v>
      </c>
      <c r="S99" s="49">
        <v>2086</v>
      </c>
      <c r="T99" s="50" t="s">
        <v>174</v>
      </c>
      <c r="U99" s="50" t="s">
        <v>175</v>
      </c>
      <c r="V99" s="49">
        <v>1346</v>
      </c>
      <c r="W99" s="49">
        <v>665</v>
      </c>
      <c r="X99" s="50">
        <v>4097</v>
      </c>
      <c r="Y99" s="50">
        <v>76</v>
      </c>
      <c r="Z99" s="50">
        <v>40</v>
      </c>
      <c r="AA99" s="50">
        <v>80</v>
      </c>
      <c r="AB99" s="50">
        <v>44</v>
      </c>
      <c r="AC99" s="50" t="s">
        <v>41</v>
      </c>
      <c r="AD99" s="50" t="s">
        <v>41</v>
      </c>
      <c r="AE99" s="51">
        <v>1296</v>
      </c>
      <c r="AF99" s="51">
        <v>492</v>
      </c>
      <c r="AG99" s="51">
        <v>216</v>
      </c>
      <c r="AH99" s="51">
        <v>298</v>
      </c>
      <c r="AI99" s="49">
        <v>61</v>
      </c>
      <c r="AJ99" s="49">
        <v>69</v>
      </c>
      <c r="AK99" s="49">
        <v>11</v>
      </c>
      <c r="AL99" s="49">
        <v>40</v>
      </c>
      <c r="AM99" s="49">
        <v>2086</v>
      </c>
      <c r="AN99" s="49">
        <v>170</v>
      </c>
      <c r="AO99" s="52">
        <v>21.13</v>
      </c>
      <c r="AP99" s="52">
        <v>7.097</v>
      </c>
      <c r="AQ99" s="52">
        <v>20.225</v>
      </c>
      <c r="AR99" s="52">
        <v>7.522</v>
      </c>
      <c r="AS99" s="8"/>
    </row>
    <row r="100" spans="1:45" ht="38.25">
      <c r="A100" s="44">
        <v>57</v>
      </c>
      <c r="B100" s="45" t="s">
        <v>97</v>
      </c>
      <c r="C100" s="46">
        <v>4.335</v>
      </c>
      <c r="D100" s="47">
        <v>592.76</v>
      </c>
      <c r="E100" s="47" t="s">
        <v>98</v>
      </c>
      <c r="F100" s="47"/>
      <c r="G100" s="47">
        <v>2570</v>
      </c>
      <c r="H100" s="47" t="s">
        <v>309</v>
      </c>
      <c r="I100" s="47"/>
      <c r="J100" s="47" t="s">
        <v>100</v>
      </c>
      <c r="K100" s="48"/>
      <c r="L100" s="47">
        <v>13640</v>
      </c>
      <c r="M100" s="47" t="s">
        <v>310</v>
      </c>
      <c r="N100" s="47"/>
      <c r="O100" s="49">
        <f>0+0</f>
        <v>0</v>
      </c>
      <c r="P100" s="50" t="s">
        <v>87</v>
      </c>
      <c r="Q100" s="49">
        <f>0+0</f>
        <v>0</v>
      </c>
      <c r="R100" s="49">
        <v>2570</v>
      </c>
      <c r="S100" s="49">
        <v>13640</v>
      </c>
      <c r="T100" s="50"/>
      <c r="U100" s="50"/>
      <c r="V100" s="49"/>
      <c r="W100" s="49"/>
      <c r="X100" s="50">
        <v>13640</v>
      </c>
      <c r="Y100" s="50"/>
      <c r="Z100" s="50"/>
      <c r="AA100" s="50">
        <v>80</v>
      </c>
      <c r="AB100" s="50">
        <v>44</v>
      </c>
      <c r="AC100" s="50" t="s">
        <v>41</v>
      </c>
      <c r="AD100" s="50" t="s">
        <v>41</v>
      </c>
      <c r="AE100" s="51"/>
      <c r="AF100" s="51"/>
      <c r="AG100" s="51"/>
      <c r="AH100" s="51">
        <v>13640</v>
      </c>
      <c r="AI100" s="49"/>
      <c r="AJ100" s="49"/>
      <c r="AK100" s="49"/>
      <c r="AL100" s="49">
        <v>2570</v>
      </c>
      <c r="AM100" s="49">
        <v>13640</v>
      </c>
      <c r="AN100" s="49">
        <v>2570</v>
      </c>
      <c r="AO100" s="52" t="s">
        <v>19</v>
      </c>
      <c r="AP100" s="52" t="s">
        <v>19</v>
      </c>
      <c r="AQ100" s="52" t="s">
        <v>19</v>
      </c>
      <c r="AR100" s="52">
        <v>5.308</v>
      </c>
      <c r="AS100" s="8"/>
    </row>
    <row r="101" spans="1:45" ht="114.75">
      <c r="A101" s="44">
        <v>58</v>
      </c>
      <c r="B101" s="45" t="s">
        <v>311</v>
      </c>
      <c r="C101" s="46">
        <v>0.455</v>
      </c>
      <c r="D101" s="47">
        <v>958.14</v>
      </c>
      <c r="E101" s="47" t="s">
        <v>179</v>
      </c>
      <c r="F101" s="47" t="s">
        <v>180</v>
      </c>
      <c r="G101" s="47">
        <v>436</v>
      </c>
      <c r="H101" s="47" t="s">
        <v>312</v>
      </c>
      <c r="I101" s="47" t="s">
        <v>313</v>
      </c>
      <c r="J101" s="47" t="s">
        <v>182</v>
      </c>
      <c r="K101" s="48" t="s">
        <v>183</v>
      </c>
      <c r="L101" s="47">
        <v>5912</v>
      </c>
      <c r="M101" s="47" t="s">
        <v>314</v>
      </c>
      <c r="N101" s="47" t="s">
        <v>315</v>
      </c>
      <c r="O101" s="49">
        <f>203+25</f>
        <v>228</v>
      </c>
      <c r="P101" s="50" t="s">
        <v>38</v>
      </c>
      <c r="Q101" s="49">
        <f>4285+498</f>
        <v>4783</v>
      </c>
      <c r="R101" s="49">
        <v>436</v>
      </c>
      <c r="S101" s="49">
        <v>5912</v>
      </c>
      <c r="T101" s="50" t="s">
        <v>174</v>
      </c>
      <c r="U101" s="50" t="s">
        <v>175</v>
      </c>
      <c r="V101" s="49">
        <v>4257</v>
      </c>
      <c r="W101" s="49">
        <v>2105</v>
      </c>
      <c r="X101" s="50">
        <v>12274</v>
      </c>
      <c r="Y101" s="50">
        <v>239</v>
      </c>
      <c r="Z101" s="50">
        <v>125</v>
      </c>
      <c r="AA101" s="50">
        <v>80</v>
      </c>
      <c r="AB101" s="50">
        <v>44</v>
      </c>
      <c r="AC101" s="50" t="s">
        <v>41</v>
      </c>
      <c r="AD101" s="50" t="s">
        <v>41</v>
      </c>
      <c r="AE101" s="51">
        <v>4285</v>
      </c>
      <c r="AF101" s="51">
        <v>1442</v>
      </c>
      <c r="AG101" s="51">
        <v>498</v>
      </c>
      <c r="AH101" s="51">
        <v>185</v>
      </c>
      <c r="AI101" s="49">
        <v>203</v>
      </c>
      <c r="AJ101" s="49">
        <v>200</v>
      </c>
      <c r="AK101" s="49">
        <v>25</v>
      </c>
      <c r="AL101" s="49">
        <v>33</v>
      </c>
      <c r="AM101" s="49">
        <v>5912</v>
      </c>
      <c r="AN101" s="49">
        <v>436</v>
      </c>
      <c r="AO101" s="52">
        <v>21.13</v>
      </c>
      <c r="AP101" s="52">
        <v>7.198</v>
      </c>
      <c r="AQ101" s="52">
        <v>20.207</v>
      </c>
      <c r="AR101" s="52">
        <v>5.62</v>
      </c>
      <c r="AS101" s="8"/>
    </row>
    <row r="102" spans="1:45" ht="38.25">
      <c r="A102" s="44">
        <v>59</v>
      </c>
      <c r="B102" s="45" t="s">
        <v>316</v>
      </c>
      <c r="C102" s="46">
        <v>1</v>
      </c>
      <c r="D102" s="47">
        <v>4716</v>
      </c>
      <c r="E102" s="47" t="s">
        <v>317</v>
      </c>
      <c r="F102" s="47"/>
      <c r="G102" s="47">
        <v>4716</v>
      </c>
      <c r="H102" s="47" t="s">
        <v>317</v>
      </c>
      <c r="I102" s="47"/>
      <c r="J102" s="47" t="s">
        <v>110</v>
      </c>
      <c r="K102" s="48"/>
      <c r="L102" s="47">
        <v>35181</v>
      </c>
      <c r="M102" s="47" t="s">
        <v>318</v>
      </c>
      <c r="N102" s="47"/>
      <c r="O102" s="49">
        <f>0+0</f>
        <v>0</v>
      </c>
      <c r="P102" s="50" t="s">
        <v>87</v>
      </c>
      <c r="Q102" s="49">
        <f>0+0</f>
        <v>0</v>
      </c>
      <c r="R102" s="49">
        <v>4716</v>
      </c>
      <c r="S102" s="49">
        <v>35181</v>
      </c>
      <c r="T102" s="50"/>
      <c r="U102" s="50"/>
      <c r="V102" s="49"/>
      <c r="W102" s="49"/>
      <c r="X102" s="50">
        <v>35181</v>
      </c>
      <c r="Y102" s="50"/>
      <c r="Z102" s="50"/>
      <c r="AA102" s="50">
        <v>0</v>
      </c>
      <c r="AB102" s="50">
        <v>0</v>
      </c>
      <c r="AC102" s="50" t="s">
        <v>41</v>
      </c>
      <c r="AD102" s="50" t="s">
        <v>41</v>
      </c>
      <c r="AE102" s="51"/>
      <c r="AF102" s="51"/>
      <c r="AG102" s="51"/>
      <c r="AH102" s="51">
        <v>35181</v>
      </c>
      <c r="AI102" s="49"/>
      <c r="AJ102" s="49"/>
      <c r="AK102" s="49"/>
      <c r="AL102" s="49">
        <v>4716</v>
      </c>
      <c r="AM102" s="49">
        <v>35181</v>
      </c>
      <c r="AN102" s="49">
        <v>4716</v>
      </c>
      <c r="AO102" s="52" t="s">
        <v>19</v>
      </c>
      <c r="AP102" s="52" t="s">
        <v>19</v>
      </c>
      <c r="AQ102" s="52" t="s">
        <v>19</v>
      </c>
      <c r="AR102" s="52">
        <v>7.46</v>
      </c>
      <c r="AS102" s="8"/>
    </row>
    <row r="103" spans="1:45" ht="38.25">
      <c r="A103" s="44">
        <v>60</v>
      </c>
      <c r="B103" s="45" t="s">
        <v>319</v>
      </c>
      <c r="C103" s="46">
        <v>1</v>
      </c>
      <c r="D103" s="47">
        <v>3012.68</v>
      </c>
      <c r="E103" s="47" t="s">
        <v>320</v>
      </c>
      <c r="F103" s="47"/>
      <c r="G103" s="47">
        <v>3013</v>
      </c>
      <c r="H103" s="47" t="s">
        <v>321</v>
      </c>
      <c r="I103" s="47"/>
      <c r="J103" s="47" t="s">
        <v>110</v>
      </c>
      <c r="K103" s="48"/>
      <c r="L103" s="47">
        <v>22475</v>
      </c>
      <c r="M103" s="47" t="s">
        <v>322</v>
      </c>
      <c r="N103" s="47"/>
      <c r="O103" s="49">
        <f>0+0</f>
        <v>0</v>
      </c>
      <c r="P103" s="50" t="s">
        <v>87</v>
      </c>
      <c r="Q103" s="49">
        <f>0+0</f>
        <v>0</v>
      </c>
      <c r="R103" s="49">
        <v>3013</v>
      </c>
      <c r="S103" s="49">
        <v>22475</v>
      </c>
      <c r="T103" s="50"/>
      <c r="U103" s="50"/>
      <c r="V103" s="49"/>
      <c r="W103" s="49"/>
      <c r="X103" s="50">
        <v>22475</v>
      </c>
      <c r="Y103" s="50"/>
      <c r="Z103" s="50"/>
      <c r="AA103" s="50">
        <v>0</v>
      </c>
      <c r="AB103" s="50">
        <v>0</v>
      </c>
      <c r="AC103" s="50" t="s">
        <v>41</v>
      </c>
      <c r="AD103" s="50" t="s">
        <v>41</v>
      </c>
      <c r="AE103" s="51"/>
      <c r="AF103" s="51"/>
      <c r="AG103" s="51"/>
      <c r="AH103" s="51">
        <v>22475</v>
      </c>
      <c r="AI103" s="49"/>
      <c r="AJ103" s="49"/>
      <c r="AK103" s="49"/>
      <c r="AL103" s="49">
        <v>3013</v>
      </c>
      <c r="AM103" s="49">
        <v>22475</v>
      </c>
      <c r="AN103" s="49">
        <v>3013</v>
      </c>
      <c r="AO103" s="52" t="s">
        <v>19</v>
      </c>
      <c r="AP103" s="52" t="s">
        <v>19</v>
      </c>
      <c r="AQ103" s="52" t="s">
        <v>19</v>
      </c>
      <c r="AR103" s="52">
        <v>7.46</v>
      </c>
      <c r="AS103" s="8"/>
    </row>
    <row r="104" spans="1:45" ht="51">
      <c r="A104" s="44">
        <v>61</v>
      </c>
      <c r="B104" s="45" t="s">
        <v>323</v>
      </c>
      <c r="C104" s="46">
        <v>2</v>
      </c>
      <c r="D104" s="47">
        <v>2769.35</v>
      </c>
      <c r="E104" s="47" t="s">
        <v>324</v>
      </c>
      <c r="F104" s="47"/>
      <c r="G104" s="47">
        <v>5539</v>
      </c>
      <c r="H104" s="47" t="s">
        <v>325</v>
      </c>
      <c r="I104" s="47"/>
      <c r="J104" s="47" t="s">
        <v>110</v>
      </c>
      <c r="K104" s="48"/>
      <c r="L104" s="47">
        <v>41319</v>
      </c>
      <c r="M104" s="47" t="s">
        <v>326</v>
      </c>
      <c r="N104" s="47"/>
      <c r="O104" s="49">
        <f>0+0</f>
        <v>0</v>
      </c>
      <c r="P104" s="50" t="s">
        <v>87</v>
      </c>
      <c r="Q104" s="49">
        <f>0+0</f>
        <v>0</v>
      </c>
      <c r="R104" s="49">
        <v>5539</v>
      </c>
      <c r="S104" s="49">
        <v>41319</v>
      </c>
      <c r="T104" s="50"/>
      <c r="U104" s="50"/>
      <c r="V104" s="49"/>
      <c r="W104" s="49"/>
      <c r="X104" s="50">
        <v>41319</v>
      </c>
      <c r="Y104" s="50"/>
      <c r="Z104" s="50"/>
      <c r="AA104" s="50">
        <v>0</v>
      </c>
      <c r="AB104" s="50">
        <v>0</v>
      </c>
      <c r="AC104" s="50" t="s">
        <v>41</v>
      </c>
      <c r="AD104" s="50" t="s">
        <v>41</v>
      </c>
      <c r="AE104" s="51"/>
      <c r="AF104" s="51"/>
      <c r="AG104" s="51"/>
      <c r="AH104" s="51">
        <v>41319</v>
      </c>
      <c r="AI104" s="49"/>
      <c r="AJ104" s="49"/>
      <c r="AK104" s="49"/>
      <c r="AL104" s="49">
        <v>5539</v>
      </c>
      <c r="AM104" s="49">
        <v>41319</v>
      </c>
      <c r="AN104" s="49">
        <v>5539</v>
      </c>
      <c r="AO104" s="52" t="s">
        <v>19</v>
      </c>
      <c r="AP104" s="52" t="s">
        <v>19</v>
      </c>
      <c r="AQ104" s="52" t="s">
        <v>19</v>
      </c>
      <c r="AR104" s="52">
        <v>7.46</v>
      </c>
      <c r="AS104" s="8"/>
    </row>
    <row r="105" spans="1:45" ht="12.75">
      <c r="A105" s="85" t="s">
        <v>63</v>
      </c>
      <c r="B105" s="86"/>
      <c r="C105" s="86"/>
      <c r="D105" s="86"/>
      <c r="E105" s="86"/>
      <c r="F105" s="86"/>
      <c r="G105" s="73">
        <v>17570</v>
      </c>
      <c r="H105" s="47"/>
      <c r="I105" s="47"/>
      <c r="J105" s="47"/>
      <c r="K105" s="48"/>
      <c r="L105" s="73">
        <v>139879</v>
      </c>
      <c r="M105" s="47"/>
      <c r="N105" s="47"/>
      <c r="O105" s="53" t="s">
        <v>56</v>
      </c>
      <c r="P105" s="54" t="s">
        <v>56</v>
      </c>
      <c r="Q105" s="53" t="s">
        <v>56</v>
      </c>
      <c r="R105" s="53" t="s">
        <v>56</v>
      </c>
      <c r="S105" s="53" t="s">
        <v>56</v>
      </c>
      <c r="T105" s="54" t="s">
        <v>56</v>
      </c>
      <c r="U105" s="54" t="s">
        <v>56</v>
      </c>
      <c r="V105" s="53" t="s">
        <v>56</v>
      </c>
      <c r="W105" s="53" t="s">
        <v>56</v>
      </c>
      <c r="X105" s="54" t="s">
        <v>56</v>
      </c>
      <c r="Y105" s="54" t="s">
        <v>56</v>
      </c>
      <c r="Z105" s="54" t="s">
        <v>56</v>
      </c>
      <c r="AA105" s="54" t="s">
        <v>56</v>
      </c>
      <c r="AB105" s="54" t="s">
        <v>56</v>
      </c>
      <c r="AC105" s="54" t="s">
        <v>56</v>
      </c>
      <c r="AD105" s="54" t="s">
        <v>56</v>
      </c>
      <c r="AE105" s="55" t="s">
        <v>56</v>
      </c>
      <c r="AF105" s="55" t="s">
        <v>56</v>
      </c>
      <c r="AG105" s="55" t="s">
        <v>56</v>
      </c>
      <c r="AH105" s="55" t="s">
        <v>56</v>
      </c>
      <c r="AI105" s="53" t="s">
        <v>56</v>
      </c>
      <c r="AJ105" s="53" t="s">
        <v>56</v>
      </c>
      <c r="AK105" s="53" t="s">
        <v>56</v>
      </c>
      <c r="AL105" s="53" t="s">
        <v>56</v>
      </c>
      <c r="AM105" s="53"/>
      <c r="AN105" s="53"/>
      <c r="AO105" s="56" t="s">
        <v>56</v>
      </c>
      <c r="AP105" s="56" t="s">
        <v>56</v>
      </c>
      <c r="AQ105" s="56" t="s">
        <v>56</v>
      </c>
      <c r="AR105" s="56" t="s">
        <v>56</v>
      </c>
      <c r="AS105" s="8"/>
    </row>
    <row r="106" spans="1:45" ht="42" customHeight="1">
      <c r="A106" s="85" t="s">
        <v>338</v>
      </c>
      <c r="B106" s="86"/>
      <c r="C106" s="86"/>
      <c r="D106" s="86"/>
      <c r="E106" s="86"/>
      <c r="F106" s="86"/>
      <c r="G106" s="73"/>
      <c r="H106" s="47"/>
      <c r="I106" s="47"/>
      <c r="J106" s="47"/>
      <c r="K106" s="48"/>
      <c r="L106" s="73">
        <v>190347</v>
      </c>
      <c r="M106" s="47"/>
      <c r="N106" s="47"/>
      <c r="O106" s="53" t="s">
        <v>56</v>
      </c>
      <c r="P106" s="54" t="s">
        <v>56</v>
      </c>
      <c r="Q106" s="53" t="s">
        <v>56</v>
      </c>
      <c r="R106" s="53" t="s">
        <v>56</v>
      </c>
      <c r="S106" s="53" t="s">
        <v>56</v>
      </c>
      <c r="T106" s="54" t="s">
        <v>56</v>
      </c>
      <c r="U106" s="54" t="s">
        <v>56</v>
      </c>
      <c r="V106" s="53" t="s">
        <v>56</v>
      </c>
      <c r="W106" s="53" t="s">
        <v>56</v>
      </c>
      <c r="X106" s="54" t="s">
        <v>56</v>
      </c>
      <c r="Y106" s="54" t="s">
        <v>56</v>
      </c>
      <c r="Z106" s="54" t="s">
        <v>56</v>
      </c>
      <c r="AA106" s="54" t="s">
        <v>56</v>
      </c>
      <c r="AB106" s="54" t="s">
        <v>56</v>
      </c>
      <c r="AC106" s="54" t="s">
        <v>56</v>
      </c>
      <c r="AD106" s="54" t="s">
        <v>56</v>
      </c>
      <c r="AE106" s="55" t="s">
        <v>56</v>
      </c>
      <c r="AF106" s="55" t="s">
        <v>56</v>
      </c>
      <c r="AG106" s="55" t="s">
        <v>56</v>
      </c>
      <c r="AH106" s="55" t="s">
        <v>56</v>
      </c>
      <c r="AI106" s="53" t="s">
        <v>56</v>
      </c>
      <c r="AJ106" s="53" t="s">
        <v>56</v>
      </c>
      <c r="AK106" s="53" t="s">
        <v>56</v>
      </c>
      <c r="AL106" s="53" t="s">
        <v>56</v>
      </c>
      <c r="AM106" s="53"/>
      <c r="AN106" s="53"/>
      <c r="AO106" s="56" t="s">
        <v>56</v>
      </c>
      <c r="AP106" s="56" t="s">
        <v>56</v>
      </c>
      <c r="AQ106" s="56" t="s">
        <v>56</v>
      </c>
      <c r="AR106" s="56" t="s">
        <v>56</v>
      </c>
      <c r="AS106" s="8"/>
    </row>
    <row r="107" spans="1:45" ht="12.75">
      <c r="A107" s="83" t="s">
        <v>327</v>
      </c>
      <c r="B107" s="84"/>
      <c r="C107" s="84"/>
      <c r="D107" s="84"/>
      <c r="E107" s="84"/>
      <c r="F107" s="84"/>
      <c r="G107" s="74">
        <v>17570</v>
      </c>
      <c r="H107" s="57"/>
      <c r="I107" s="57"/>
      <c r="J107" s="57"/>
      <c r="K107" s="58"/>
      <c r="L107" s="74">
        <v>190347</v>
      </c>
      <c r="M107" s="57"/>
      <c r="N107" s="57"/>
      <c r="O107" s="59" t="s">
        <v>56</v>
      </c>
      <c r="P107" s="60" t="s">
        <v>56</v>
      </c>
      <c r="Q107" s="59" t="s">
        <v>56</v>
      </c>
      <c r="R107" s="59" t="s">
        <v>56</v>
      </c>
      <c r="S107" s="59" t="s">
        <v>56</v>
      </c>
      <c r="T107" s="60" t="s">
        <v>56</v>
      </c>
      <c r="U107" s="60" t="s">
        <v>56</v>
      </c>
      <c r="V107" s="59" t="s">
        <v>56</v>
      </c>
      <c r="W107" s="59" t="s">
        <v>56</v>
      </c>
      <c r="X107" s="60" t="s">
        <v>56</v>
      </c>
      <c r="Y107" s="60" t="s">
        <v>56</v>
      </c>
      <c r="Z107" s="60" t="s">
        <v>56</v>
      </c>
      <c r="AA107" s="60" t="s">
        <v>56</v>
      </c>
      <c r="AB107" s="60" t="s">
        <v>56</v>
      </c>
      <c r="AC107" s="60" t="s">
        <v>56</v>
      </c>
      <c r="AD107" s="60" t="s">
        <v>56</v>
      </c>
      <c r="AE107" s="61" t="s">
        <v>56</v>
      </c>
      <c r="AF107" s="61" t="s">
        <v>56</v>
      </c>
      <c r="AG107" s="61" t="s">
        <v>56</v>
      </c>
      <c r="AH107" s="61" t="s">
        <v>56</v>
      </c>
      <c r="AI107" s="59" t="s">
        <v>56</v>
      </c>
      <c r="AJ107" s="59" t="s">
        <v>56</v>
      </c>
      <c r="AK107" s="59" t="s">
        <v>56</v>
      </c>
      <c r="AL107" s="59" t="s">
        <v>56</v>
      </c>
      <c r="AM107" s="59"/>
      <c r="AN107" s="59"/>
      <c r="AO107" s="62" t="s">
        <v>56</v>
      </c>
      <c r="AP107" s="62" t="s">
        <v>56</v>
      </c>
      <c r="AQ107" s="62" t="s">
        <v>56</v>
      </c>
      <c r="AR107" s="62" t="s">
        <v>56</v>
      </c>
      <c r="AS107" s="8"/>
    </row>
    <row r="108" spans="1:45" ht="38.25">
      <c r="A108" s="85" t="s">
        <v>329</v>
      </c>
      <c r="B108" s="86"/>
      <c r="C108" s="86"/>
      <c r="D108" s="86"/>
      <c r="E108" s="86"/>
      <c r="F108" s="86"/>
      <c r="G108" s="73">
        <v>104754</v>
      </c>
      <c r="H108" s="47" t="s">
        <v>330</v>
      </c>
      <c r="I108" s="47" t="s">
        <v>331</v>
      </c>
      <c r="J108" s="47"/>
      <c r="K108" s="48"/>
      <c r="L108" s="73">
        <v>758692</v>
      </c>
      <c r="M108" s="47" t="s">
        <v>332</v>
      </c>
      <c r="N108" s="47" t="s">
        <v>333</v>
      </c>
      <c r="O108" s="53" t="s">
        <v>56</v>
      </c>
      <c r="P108" s="54" t="s">
        <v>56</v>
      </c>
      <c r="Q108" s="53" t="s">
        <v>56</v>
      </c>
      <c r="R108" s="53" t="s">
        <v>56</v>
      </c>
      <c r="S108" s="53" t="s">
        <v>56</v>
      </c>
      <c r="T108" s="54" t="s">
        <v>56</v>
      </c>
      <c r="U108" s="54" t="s">
        <v>56</v>
      </c>
      <c r="V108" s="53" t="s">
        <v>56</v>
      </c>
      <c r="W108" s="53" t="s">
        <v>56</v>
      </c>
      <c r="X108" s="54" t="s">
        <v>56</v>
      </c>
      <c r="Y108" s="54" t="s">
        <v>56</v>
      </c>
      <c r="Z108" s="54" t="s">
        <v>56</v>
      </c>
      <c r="AA108" s="54" t="s">
        <v>56</v>
      </c>
      <c r="AB108" s="54" t="s">
        <v>56</v>
      </c>
      <c r="AC108" s="54" t="s">
        <v>56</v>
      </c>
      <c r="AD108" s="54" t="s">
        <v>56</v>
      </c>
      <c r="AE108" s="55" t="s">
        <v>56</v>
      </c>
      <c r="AF108" s="55" t="s">
        <v>56</v>
      </c>
      <c r="AG108" s="55" t="s">
        <v>56</v>
      </c>
      <c r="AH108" s="55" t="s">
        <v>56</v>
      </c>
      <c r="AI108" s="53" t="s">
        <v>56</v>
      </c>
      <c r="AJ108" s="53" t="s">
        <v>56</v>
      </c>
      <c r="AK108" s="53" t="s">
        <v>56</v>
      </c>
      <c r="AL108" s="53" t="s">
        <v>56</v>
      </c>
      <c r="AM108" s="53"/>
      <c r="AN108" s="53"/>
      <c r="AO108" s="56" t="s">
        <v>56</v>
      </c>
      <c r="AP108" s="56" t="s">
        <v>56</v>
      </c>
      <c r="AQ108" s="56" t="s">
        <v>56</v>
      </c>
      <c r="AR108" s="56" t="s">
        <v>56</v>
      </c>
      <c r="AS108" s="8"/>
    </row>
    <row r="109" spans="1:45" ht="12.75">
      <c r="A109" s="85" t="s">
        <v>57</v>
      </c>
      <c r="B109" s="86"/>
      <c r="C109" s="86"/>
      <c r="D109" s="86"/>
      <c r="E109" s="86"/>
      <c r="F109" s="86"/>
      <c r="G109" s="73"/>
      <c r="H109" s="47"/>
      <c r="I109" s="47"/>
      <c r="J109" s="47"/>
      <c r="K109" s="48"/>
      <c r="L109" s="73"/>
      <c r="M109" s="47"/>
      <c r="N109" s="47"/>
      <c r="O109" s="53" t="s">
        <v>56</v>
      </c>
      <c r="P109" s="54" t="s">
        <v>56</v>
      </c>
      <c r="Q109" s="53" t="s">
        <v>56</v>
      </c>
      <c r="R109" s="53" t="s">
        <v>56</v>
      </c>
      <c r="S109" s="53" t="s">
        <v>56</v>
      </c>
      <c r="T109" s="54" t="s">
        <v>56</v>
      </c>
      <c r="U109" s="54" t="s">
        <v>56</v>
      </c>
      <c r="V109" s="53" t="s">
        <v>56</v>
      </c>
      <c r="W109" s="53" t="s">
        <v>56</v>
      </c>
      <c r="X109" s="54" t="s">
        <v>56</v>
      </c>
      <c r="Y109" s="54" t="s">
        <v>56</v>
      </c>
      <c r="Z109" s="54" t="s">
        <v>56</v>
      </c>
      <c r="AA109" s="54" t="s">
        <v>56</v>
      </c>
      <c r="AB109" s="54" t="s">
        <v>56</v>
      </c>
      <c r="AC109" s="54" t="s">
        <v>56</v>
      </c>
      <c r="AD109" s="54" t="s">
        <v>56</v>
      </c>
      <c r="AE109" s="55" t="s">
        <v>56</v>
      </c>
      <c r="AF109" s="55" t="s">
        <v>56</v>
      </c>
      <c r="AG109" s="55" t="s">
        <v>56</v>
      </c>
      <c r="AH109" s="55" t="s">
        <v>56</v>
      </c>
      <c r="AI109" s="53" t="s">
        <v>56</v>
      </c>
      <c r="AJ109" s="53" t="s">
        <v>56</v>
      </c>
      <c r="AK109" s="53" t="s">
        <v>56</v>
      </c>
      <c r="AL109" s="53" t="s">
        <v>56</v>
      </c>
      <c r="AM109" s="53"/>
      <c r="AN109" s="53"/>
      <c r="AO109" s="56" t="s">
        <v>56</v>
      </c>
      <c r="AP109" s="56" t="s">
        <v>56</v>
      </c>
      <c r="AQ109" s="56" t="s">
        <v>56</v>
      </c>
      <c r="AR109" s="56" t="s">
        <v>56</v>
      </c>
      <c r="AS109" s="8"/>
    </row>
    <row r="110" spans="1:45" ht="12.75">
      <c r="A110" s="85" t="s">
        <v>58</v>
      </c>
      <c r="B110" s="86"/>
      <c r="C110" s="86"/>
      <c r="D110" s="86"/>
      <c r="E110" s="86"/>
      <c r="F110" s="86"/>
      <c r="G110" s="73">
        <v>4100</v>
      </c>
      <c r="H110" s="47"/>
      <c r="I110" s="47"/>
      <c r="J110" s="47"/>
      <c r="K110" s="48"/>
      <c r="L110" s="73">
        <v>86652</v>
      </c>
      <c r="M110" s="47"/>
      <c r="N110" s="47"/>
      <c r="O110" s="53" t="s">
        <v>56</v>
      </c>
      <c r="P110" s="54" t="s">
        <v>56</v>
      </c>
      <c r="Q110" s="53" t="s">
        <v>56</v>
      </c>
      <c r="R110" s="53" t="s">
        <v>56</v>
      </c>
      <c r="S110" s="53" t="s">
        <v>56</v>
      </c>
      <c r="T110" s="54" t="s">
        <v>56</v>
      </c>
      <c r="U110" s="54" t="s">
        <v>56</v>
      </c>
      <c r="V110" s="53" t="s">
        <v>56</v>
      </c>
      <c r="W110" s="53" t="s">
        <v>56</v>
      </c>
      <c r="X110" s="54" t="s">
        <v>56</v>
      </c>
      <c r="Y110" s="54" t="s">
        <v>56</v>
      </c>
      <c r="Z110" s="54" t="s">
        <v>56</v>
      </c>
      <c r="AA110" s="54" t="s">
        <v>56</v>
      </c>
      <c r="AB110" s="54" t="s">
        <v>56</v>
      </c>
      <c r="AC110" s="54" t="s">
        <v>56</v>
      </c>
      <c r="AD110" s="54" t="s">
        <v>56</v>
      </c>
      <c r="AE110" s="55" t="s">
        <v>56</v>
      </c>
      <c r="AF110" s="55" t="s">
        <v>56</v>
      </c>
      <c r="AG110" s="55" t="s">
        <v>56</v>
      </c>
      <c r="AH110" s="55" t="s">
        <v>56</v>
      </c>
      <c r="AI110" s="53" t="s">
        <v>56</v>
      </c>
      <c r="AJ110" s="53" t="s">
        <v>56</v>
      </c>
      <c r="AK110" s="53" t="s">
        <v>56</v>
      </c>
      <c r="AL110" s="53" t="s">
        <v>56</v>
      </c>
      <c r="AM110" s="53"/>
      <c r="AN110" s="53"/>
      <c r="AO110" s="56" t="s">
        <v>56</v>
      </c>
      <c r="AP110" s="56" t="s">
        <v>56</v>
      </c>
      <c r="AQ110" s="56" t="s">
        <v>56</v>
      </c>
      <c r="AR110" s="56" t="s">
        <v>56</v>
      </c>
      <c r="AS110" s="8"/>
    </row>
    <row r="111" spans="1:45" ht="12.75">
      <c r="A111" s="85" t="s">
        <v>194</v>
      </c>
      <c r="B111" s="86"/>
      <c r="C111" s="86"/>
      <c r="D111" s="86"/>
      <c r="E111" s="86"/>
      <c r="F111" s="86"/>
      <c r="G111" s="73">
        <v>90160</v>
      </c>
      <c r="H111" s="47"/>
      <c r="I111" s="47"/>
      <c r="J111" s="47"/>
      <c r="K111" s="48"/>
      <c r="L111" s="73">
        <v>600870</v>
      </c>
      <c r="M111" s="47"/>
      <c r="N111" s="47"/>
      <c r="O111" s="53" t="s">
        <v>56</v>
      </c>
      <c r="P111" s="54" t="s">
        <v>56</v>
      </c>
      <c r="Q111" s="53" t="s">
        <v>56</v>
      </c>
      <c r="R111" s="53" t="s">
        <v>56</v>
      </c>
      <c r="S111" s="53" t="s">
        <v>56</v>
      </c>
      <c r="T111" s="54" t="s">
        <v>56</v>
      </c>
      <c r="U111" s="54" t="s">
        <v>56</v>
      </c>
      <c r="V111" s="53" t="s">
        <v>56</v>
      </c>
      <c r="W111" s="53" t="s">
        <v>56</v>
      </c>
      <c r="X111" s="54" t="s">
        <v>56</v>
      </c>
      <c r="Y111" s="54" t="s">
        <v>56</v>
      </c>
      <c r="Z111" s="54" t="s">
        <v>56</v>
      </c>
      <c r="AA111" s="54" t="s">
        <v>56</v>
      </c>
      <c r="AB111" s="54" t="s">
        <v>56</v>
      </c>
      <c r="AC111" s="54" t="s">
        <v>56</v>
      </c>
      <c r="AD111" s="54" t="s">
        <v>56</v>
      </c>
      <c r="AE111" s="55" t="s">
        <v>56</v>
      </c>
      <c r="AF111" s="55" t="s">
        <v>56</v>
      </c>
      <c r="AG111" s="55" t="s">
        <v>56</v>
      </c>
      <c r="AH111" s="55" t="s">
        <v>56</v>
      </c>
      <c r="AI111" s="53" t="s">
        <v>56</v>
      </c>
      <c r="AJ111" s="53" t="s">
        <v>56</v>
      </c>
      <c r="AK111" s="53" t="s">
        <v>56</v>
      </c>
      <c r="AL111" s="53" t="s">
        <v>56</v>
      </c>
      <c r="AM111" s="53"/>
      <c r="AN111" s="53"/>
      <c r="AO111" s="56" t="s">
        <v>56</v>
      </c>
      <c r="AP111" s="56" t="s">
        <v>56</v>
      </c>
      <c r="AQ111" s="56" t="s">
        <v>56</v>
      </c>
      <c r="AR111" s="56" t="s">
        <v>56</v>
      </c>
      <c r="AS111" s="8"/>
    </row>
    <row r="112" spans="1:45" ht="12.75">
      <c r="A112" s="85" t="s">
        <v>59</v>
      </c>
      <c r="B112" s="86"/>
      <c r="C112" s="86"/>
      <c r="D112" s="86"/>
      <c r="E112" s="86"/>
      <c r="F112" s="86"/>
      <c r="G112" s="73">
        <v>10494</v>
      </c>
      <c r="H112" s="47"/>
      <c r="I112" s="47"/>
      <c r="J112" s="47"/>
      <c r="K112" s="48"/>
      <c r="L112" s="73">
        <v>71170</v>
      </c>
      <c r="M112" s="47"/>
      <c r="N112" s="47"/>
      <c r="O112" s="53" t="s">
        <v>56</v>
      </c>
      <c r="P112" s="54" t="s">
        <v>56</v>
      </c>
      <c r="Q112" s="53" t="s">
        <v>56</v>
      </c>
      <c r="R112" s="53" t="s">
        <v>56</v>
      </c>
      <c r="S112" s="53" t="s">
        <v>56</v>
      </c>
      <c r="T112" s="54" t="s">
        <v>56</v>
      </c>
      <c r="U112" s="54" t="s">
        <v>56</v>
      </c>
      <c r="V112" s="53" t="s">
        <v>56</v>
      </c>
      <c r="W112" s="53" t="s">
        <v>56</v>
      </c>
      <c r="X112" s="54" t="s">
        <v>56</v>
      </c>
      <c r="Y112" s="54" t="s">
        <v>56</v>
      </c>
      <c r="Z112" s="54" t="s">
        <v>56</v>
      </c>
      <c r="AA112" s="54" t="s">
        <v>56</v>
      </c>
      <c r="AB112" s="54" t="s">
        <v>56</v>
      </c>
      <c r="AC112" s="54" t="s">
        <v>56</v>
      </c>
      <c r="AD112" s="54" t="s">
        <v>56</v>
      </c>
      <c r="AE112" s="55" t="s">
        <v>56</v>
      </c>
      <c r="AF112" s="55" t="s">
        <v>56</v>
      </c>
      <c r="AG112" s="55" t="s">
        <v>56</v>
      </c>
      <c r="AH112" s="55" t="s">
        <v>56</v>
      </c>
      <c r="AI112" s="53" t="s">
        <v>56</v>
      </c>
      <c r="AJ112" s="53" t="s">
        <v>56</v>
      </c>
      <c r="AK112" s="53" t="s">
        <v>56</v>
      </c>
      <c r="AL112" s="53" t="s">
        <v>56</v>
      </c>
      <c r="AM112" s="53"/>
      <c r="AN112" s="53"/>
      <c r="AO112" s="56" t="s">
        <v>56</v>
      </c>
      <c r="AP112" s="56" t="s">
        <v>56</v>
      </c>
      <c r="AQ112" s="56" t="s">
        <v>56</v>
      </c>
      <c r="AR112" s="56" t="s">
        <v>56</v>
      </c>
      <c r="AS112" s="8"/>
    </row>
    <row r="113" spans="1:45" ht="12.75">
      <c r="A113" s="85" t="s">
        <v>60</v>
      </c>
      <c r="B113" s="86"/>
      <c r="C113" s="86"/>
      <c r="D113" s="86"/>
      <c r="E113" s="86"/>
      <c r="F113" s="86"/>
      <c r="G113" s="73">
        <v>905</v>
      </c>
      <c r="H113" s="47"/>
      <c r="I113" s="47"/>
      <c r="J113" s="47"/>
      <c r="K113" s="48"/>
      <c r="L113" s="73">
        <v>18292</v>
      </c>
      <c r="M113" s="47"/>
      <c r="N113" s="47"/>
      <c r="O113" s="53" t="s">
        <v>56</v>
      </c>
      <c r="P113" s="54" t="s">
        <v>56</v>
      </c>
      <c r="Q113" s="53" t="s">
        <v>56</v>
      </c>
      <c r="R113" s="53" t="s">
        <v>56</v>
      </c>
      <c r="S113" s="53" t="s">
        <v>56</v>
      </c>
      <c r="T113" s="54" t="s">
        <v>56</v>
      </c>
      <c r="U113" s="54" t="s">
        <v>56</v>
      </c>
      <c r="V113" s="53" t="s">
        <v>56</v>
      </c>
      <c r="W113" s="53" t="s">
        <v>56</v>
      </c>
      <c r="X113" s="54" t="s">
        <v>56</v>
      </c>
      <c r="Y113" s="54" t="s">
        <v>56</v>
      </c>
      <c r="Z113" s="54" t="s">
        <v>56</v>
      </c>
      <c r="AA113" s="54" t="s">
        <v>56</v>
      </c>
      <c r="AB113" s="54" t="s">
        <v>56</v>
      </c>
      <c r="AC113" s="54" t="s">
        <v>56</v>
      </c>
      <c r="AD113" s="54" t="s">
        <v>56</v>
      </c>
      <c r="AE113" s="55" t="s">
        <v>56</v>
      </c>
      <c r="AF113" s="55" t="s">
        <v>56</v>
      </c>
      <c r="AG113" s="55" t="s">
        <v>56</v>
      </c>
      <c r="AH113" s="55" t="s">
        <v>56</v>
      </c>
      <c r="AI113" s="53" t="s">
        <v>56</v>
      </c>
      <c r="AJ113" s="53" t="s">
        <v>56</v>
      </c>
      <c r="AK113" s="53" t="s">
        <v>56</v>
      </c>
      <c r="AL113" s="53" t="s">
        <v>56</v>
      </c>
      <c r="AM113" s="53"/>
      <c r="AN113" s="53"/>
      <c r="AO113" s="56" t="s">
        <v>56</v>
      </c>
      <c r="AP113" s="56" t="s">
        <v>56</v>
      </c>
      <c r="AQ113" s="56" t="s">
        <v>56</v>
      </c>
      <c r="AR113" s="56" t="s">
        <v>56</v>
      </c>
      <c r="AS113" s="8"/>
    </row>
    <row r="114" spans="1:45" ht="12.75">
      <c r="A114" s="83" t="s">
        <v>61</v>
      </c>
      <c r="B114" s="84"/>
      <c r="C114" s="84"/>
      <c r="D114" s="84"/>
      <c r="E114" s="84"/>
      <c r="F114" s="84"/>
      <c r="G114" s="74">
        <v>5863</v>
      </c>
      <c r="H114" s="57"/>
      <c r="I114" s="57"/>
      <c r="J114" s="57"/>
      <c r="K114" s="58"/>
      <c r="L114" s="74">
        <v>104433</v>
      </c>
      <c r="M114" s="57"/>
      <c r="N114" s="57"/>
      <c r="O114" s="59" t="s">
        <v>56</v>
      </c>
      <c r="P114" s="60" t="s">
        <v>56</v>
      </c>
      <c r="Q114" s="59" t="s">
        <v>56</v>
      </c>
      <c r="R114" s="59" t="s">
        <v>56</v>
      </c>
      <c r="S114" s="59" t="s">
        <v>56</v>
      </c>
      <c r="T114" s="60" t="s">
        <v>56</v>
      </c>
      <c r="U114" s="60" t="s">
        <v>56</v>
      </c>
      <c r="V114" s="59" t="s">
        <v>56</v>
      </c>
      <c r="W114" s="59" t="s">
        <v>56</v>
      </c>
      <c r="X114" s="60" t="s">
        <v>56</v>
      </c>
      <c r="Y114" s="60" t="s">
        <v>56</v>
      </c>
      <c r="Z114" s="60" t="s">
        <v>56</v>
      </c>
      <c r="AA114" s="60" t="s">
        <v>56</v>
      </c>
      <c r="AB114" s="60" t="s">
        <v>56</v>
      </c>
      <c r="AC114" s="60" t="s">
        <v>56</v>
      </c>
      <c r="AD114" s="60" t="s">
        <v>56</v>
      </c>
      <c r="AE114" s="61" t="s">
        <v>56</v>
      </c>
      <c r="AF114" s="61" t="s">
        <v>56</v>
      </c>
      <c r="AG114" s="61" t="s">
        <v>56</v>
      </c>
      <c r="AH114" s="61" t="s">
        <v>56</v>
      </c>
      <c r="AI114" s="59" t="s">
        <v>56</v>
      </c>
      <c r="AJ114" s="59" t="s">
        <v>56</v>
      </c>
      <c r="AK114" s="59" t="s">
        <v>56</v>
      </c>
      <c r="AL114" s="59" t="s">
        <v>56</v>
      </c>
      <c r="AM114" s="59"/>
      <c r="AN114" s="59"/>
      <c r="AO114" s="62" t="s">
        <v>56</v>
      </c>
      <c r="AP114" s="62" t="s">
        <v>56</v>
      </c>
      <c r="AQ114" s="62" t="s">
        <v>56</v>
      </c>
      <c r="AR114" s="62" t="s">
        <v>56</v>
      </c>
      <c r="AS114" s="8"/>
    </row>
    <row r="115" spans="1:45" ht="12.75">
      <c r="A115" s="83" t="s">
        <v>62</v>
      </c>
      <c r="B115" s="84"/>
      <c r="C115" s="84"/>
      <c r="D115" s="84"/>
      <c r="E115" s="84"/>
      <c r="F115" s="84"/>
      <c r="G115" s="74">
        <v>3312</v>
      </c>
      <c r="H115" s="57"/>
      <c r="I115" s="57"/>
      <c r="J115" s="57"/>
      <c r="K115" s="58"/>
      <c r="L115" s="74">
        <v>55662</v>
      </c>
      <c r="M115" s="57"/>
      <c r="N115" s="57"/>
      <c r="O115" s="59" t="s">
        <v>56</v>
      </c>
      <c r="P115" s="60" t="s">
        <v>56</v>
      </c>
      <c r="Q115" s="59" t="s">
        <v>56</v>
      </c>
      <c r="R115" s="59" t="s">
        <v>56</v>
      </c>
      <c r="S115" s="59" t="s">
        <v>56</v>
      </c>
      <c r="T115" s="60" t="s">
        <v>56</v>
      </c>
      <c r="U115" s="60" t="s">
        <v>56</v>
      </c>
      <c r="V115" s="59" t="s">
        <v>56</v>
      </c>
      <c r="W115" s="59" t="s">
        <v>56</v>
      </c>
      <c r="X115" s="60" t="s">
        <v>56</v>
      </c>
      <c r="Y115" s="60" t="s">
        <v>56</v>
      </c>
      <c r="Z115" s="60" t="s">
        <v>56</v>
      </c>
      <c r="AA115" s="60" t="s">
        <v>56</v>
      </c>
      <c r="AB115" s="60" t="s">
        <v>56</v>
      </c>
      <c r="AC115" s="60" t="s">
        <v>56</v>
      </c>
      <c r="AD115" s="60" t="s">
        <v>56</v>
      </c>
      <c r="AE115" s="61" t="s">
        <v>56</v>
      </c>
      <c r="AF115" s="61" t="s">
        <v>56</v>
      </c>
      <c r="AG115" s="61" t="s">
        <v>56</v>
      </c>
      <c r="AH115" s="61" t="s">
        <v>56</v>
      </c>
      <c r="AI115" s="59" t="s">
        <v>56</v>
      </c>
      <c r="AJ115" s="59" t="s">
        <v>56</v>
      </c>
      <c r="AK115" s="59" t="s">
        <v>56</v>
      </c>
      <c r="AL115" s="59" t="s">
        <v>56</v>
      </c>
      <c r="AM115" s="59"/>
      <c r="AN115" s="59"/>
      <c r="AO115" s="62" t="s">
        <v>56</v>
      </c>
      <c r="AP115" s="62" t="s">
        <v>56</v>
      </c>
      <c r="AQ115" s="62" t="s">
        <v>56</v>
      </c>
      <c r="AR115" s="62" t="s">
        <v>56</v>
      </c>
      <c r="AS115" s="8"/>
    </row>
    <row r="116" spans="1:45" ht="12.75">
      <c r="A116" s="85" t="s">
        <v>63</v>
      </c>
      <c r="B116" s="86"/>
      <c r="C116" s="86"/>
      <c r="D116" s="86"/>
      <c r="E116" s="86"/>
      <c r="F116" s="86"/>
      <c r="G116" s="73">
        <v>113929</v>
      </c>
      <c r="H116" s="47"/>
      <c r="I116" s="47"/>
      <c r="J116" s="47"/>
      <c r="K116" s="48"/>
      <c r="L116" s="73">
        <v>918787</v>
      </c>
      <c r="M116" s="47"/>
      <c r="N116" s="47"/>
      <c r="O116" s="53" t="s">
        <v>56</v>
      </c>
      <c r="P116" s="54" t="s">
        <v>56</v>
      </c>
      <c r="Q116" s="53" t="s">
        <v>56</v>
      </c>
      <c r="R116" s="53" t="s">
        <v>56</v>
      </c>
      <c r="S116" s="53" t="s">
        <v>56</v>
      </c>
      <c r="T116" s="54" t="s">
        <v>56</v>
      </c>
      <c r="U116" s="54" t="s">
        <v>56</v>
      </c>
      <c r="V116" s="53" t="s">
        <v>56</v>
      </c>
      <c r="W116" s="53" t="s">
        <v>56</v>
      </c>
      <c r="X116" s="54" t="s">
        <v>56</v>
      </c>
      <c r="Y116" s="54" t="s">
        <v>56</v>
      </c>
      <c r="Z116" s="54" t="s">
        <v>56</v>
      </c>
      <c r="AA116" s="54" t="s">
        <v>56</v>
      </c>
      <c r="AB116" s="54" t="s">
        <v>56</v>
      </c>
      <c r="AC116" s="54" t="s">
        <v>56</v>
      </c>
      <c r="AD116" s="54" t="s">
        <v>56</v>
      </c>
      <c r="AE116" s="55" t="s">
        <v>56</v>
      </c>
      <c r="AF116" s="55" t="s">
        <v>56</v>
      </c>
      <c r="AG116" s="55" t="s">
        <v>56</v>
      </c>
      <c r="AH116" s="55" t="s">
        <v>56</v>
      </c>
      <c r="AI116" s="53" t="s">
        <v>56</v>
      </c>
      <c r="AJ116" s="53" t="s">
        <v>56</v>
      </c>
      <c r="AK116" s="53" t="s">
        <v>56</v>
      </c>
      <c r="AL116" s="53" t="s">
        <v>56</v>
      </c>
      <c r="AM116" s="53"/>
      <c r="AN116" s="53"/>
      <c r="AO116" s="56" t="s">
        <v>56</v>
      </c>
      <c r="AP116" s="56" t="s">
        <v>56</v>
      </c>
      <c r="AQ116" s="56" t="s">
        <v>56</v>
      </c>
      <c r="AR116" s="56" t="s">
        <v>56</v>
      </c>
      <c r="AS116" s="8"/>
    </row>
    <row r="117" spans="1:45" ht="42" customHeight="1">
      <c r="A117" s="85" t="s">
        <v>341</v>
      </c>
      <c r="B117" s="86"/>
      <c r="C117" s="86"/>
      <c r="D117" s="86"/>
      <c r="E117" s="86"/>
      <c r="F117" s="86"/>
      <c r="G117" s="73"/>
      <c r="H117" s="47"/>
      <c r="I117" s="47"/>
      <c r="J117" s="47"/>
      <c r="K117" s="48"/>
      <c r="L117" s="73">
        <v>992290</v>
      </c>
      <c r="M117" s="47"/>
      <c r="N117" s="47"/>
      <c r="O117" s="53" t="s">
        <v>56</v>
      </c>
      <c r="P117" s="54" t="s">
        <v>56</v>
      </c>
      <c r="Q117" s="53" t="s">
        <v>56</v>
      </c>
      <c r="R117" s="53" t="s">
        <v>56</v>
      </c>
      <c r="S117" s="53" t="s">
        <v>56</v>
      </c>
      <c r="T117" s="54" t="s">
        <v>56</v>
      </c>
      <c r="U117" s="54" t="s">
        <v>56</v>
      </c>
      <c r="V117" s="53" t="s">
        <v>56</v>
      </c>
      <c r="W117" s="53" t="s">
        <v>56</v>
      </c>
      <c r="X117" s="54" t="s">
        <v>56</v>
      </c>
      <c r="Y117" s="54" t="s">
        <v>56</v>
      </c>
      <c r="Z117" s="54" t="s">
        <v>56</v>
      </c>
      <c r="AA117" s="54" t="s">
        <v>56</v>
      </c>
      <c r="AB117" s="54" t="s">
        <v>56</v>
      </c>
      <c r="AC117" s="54" t="s">
        <v>56</v>
      </c>
      <c r="AD117" s="54" t="s">
        <v>56</v>
      </c>
      <c r="AE117" s="55" t="s">
        <v>56</v>
      </c>
      <c r="AF117" s="55" t="s">
        <v>56</v>
      </c>
      <c r="AG117" s="55" t="s">
        <v>56</v>
      </c>
      <c r="AH117" s="55" t="s">
        <v>56</v>
      </c>
      <c r="AI117" s="53" t="s">
        <v>56</v>
      </c>
      <c r="AJ117" s="53" t="s">
        <v>56</v>
      </c>
      <c r="AK117" s="53" t="s">
        <v>56</v>
      </c>
      <c r="AL117" s="53" t="s">
        <v>56</v>
      </c>
      <c r="AM117" s="53"/>
      <c r="AN117" s="53"/>
      <c r="AO117" s="56" t="s">
        <v>56</v>
      </c>
      <c r="AP117" s="56" t="s">
        <v>56</v>
      </c>
      <c r="AQ117" s="56" t="s">
        <v>56</v>
      </c>
      <c r="AR117" s="56" t="s">
        <v>56</v>
      </c>
      <c r="AS117" s="8"/>
    </row>
    <row r="118" spans="1:45" ht="15.75" customHeight="1">
      <c r="A118" s="89" t="s">
        <v>340</v>
      </c>
      <c r="B118" s="90"/>
      <c r="C118" s="90"/>
      <c r="D118" s="90"/>
      <c r="E118" s="90"/>
      <c r="F118" s="91"/>
      <c r="G118" s="73"/>
      <c r="H118" s="47"/>
      <c r="I118" s="47"/>
      <c r="J118" s="47"/>
      <c r="K118" s="48"/>
      <c r="L118" s="73">
        <v>1041904</v>
      </c>
      <c r="M118" s="47"/>
      <c r="N118" s="47"/>
      <c r="O118" s="53"/>
      <c r="P118" s="54"/>
      <c r="Q118" s="53"/>
      <c r="R118" s="53"/>
      <c r="S118" s="53"/>
      <c r="T118" s="54"/>
      <c r="U118" s="54"/>
      <c r="V118" s="53"/>
      <c r="W118" s="53"/>
      <c r="X118" s="54"/>
      <c r="Y118" s="54"/>
      <c r="Z118" s="54"/>
      <c r="AA118" s="54"/>
      <c r="AB118" s="54"/>
      <c r="AC118" s="54"/>
      <c r="AD118" s="54"/>
      <c r="AE118" s="55"/>
      <c r="AF118" s="55"/>
      <c r="AG118" s="55"/>
      <c r="AH118" s="55"/>
      <c r="AI118" s="53"/>
      <c r="AJ118" s="53"/>
      <c r="AK118" s="53"/>
      <c r="AL118" s="53"/>
      <c r="AM118" s="53"/>
      <c r="AN118" s="53"/>
      <c r="AO118" s="56"/>
      <c r="AP118" s="56"/>
      <c r="AQ118" s="56"/>
      <c r="AR118" s="56"/>
      <c r="AS118" s="8"/>
    </row>
    <row r="119" spans="1:45" ht="15.75" customHeight="1">
      <c r="A119" s="85" t="s">
        <v>339</v>
      </c>
      <c r="B119" s="92"/>
      <c r="C119" s="92"/>
      <c r="D119" s="92"/>
      <c r="E119" s="92"/>
      <c r="F119" s="92"/>
      <c r="G119" s="73"/>
      <c r="H119" s="47"/>
      <c r="I119" s="47"/>
      <c r="J119" s="47"/>
      <c r="K119" s="48"/>
      <c r="L119" s="73">
        <v>208381</v>
      </c>
      <c r="M119" s="47"/>
      <c r="N119" s="47"/>
      <c r="O119" s="53"/>
      <c r="P119" s="54"/>
      <c r="Q119" s="53"/>
      <c r="R119" s="53"/>
      <c r="S119" s="53"/>
      <c r="T119" s="54"/>
      <c r="U119" s="54"/>
      <c r="V119" s="53"/>
      <c r="W119" s="53"/>
      <c r="X119" s="54"/>
      <c r="Y119" s="54"/>
      <c r="Z119" s="54"/>
      <c r="AA119" s="54"/>
      <c r="AB119" s="54"/>
      <c r="AC119" s="54"/>
      <c r="AD119" s="54"/>
      <c r="AE119" s="55"/>
      <c r="AF119" s="55"/>
      <c r="AG119" s="55"/>
      <c r="AH119" s="55"/>
      <c r="AI119" s="53"/>
      <c r="AJ119" s="53"/>
      <c r="AK119" s="53"/>
      <c r="AL119" s="53"/>
      <c r="AM119" s="53"/>
      <c r="AN119" s="53"/>
      <c r="AO119" s="56"/>
      <c r="AP119" s="56"/>
      <c r="AQ119" s="56"/>
      <c r="AR119" s="56"/>
      <c r="AS119" s="8"/>
    </row>
    <row r="120" spans="1:45" ht="12.75">
      <c r="A120" s="83" t="s">
        <v>334</v>
      </c>
      <c r="B120" s="84"/>
      <c r="C120" s="84"/>
      <c r="D120" s="84"/>
      <c r="E120" s="84"/>
      <c r="F120" s="84"/>
      <c r="G120" s="74"/>
      <c r="H120" s="57"/>
      <c r="I120" s="57"/>
      <c r="J120" s="57"/>
      <c r="K120" s="58"/>
      <c r="L120" s="74">
        <v>1250285</v>
      </c>
      <c r="M120" s="57"/>
      <c r="N120" s="57"/>
      <c r="O120" s="59" t="s">
        <v>56</v>
      </c>
      <c r="P120" s="60" t="s">
        <v>56</v>
      </c>
      <c r="Q120" s="59" t="s">
        <v>56</v>
      </c>
      <c r="R120" s="59" t="s">
        <v>56</v>
      </c>
      <c r="S120" s="59" t="s">
        <v>56</v>
      </c>
      <c r="T120" s="60" t="s">
        <v>56</v>
      </c>
      <c r="U120" s="60" t="s">
        <v>56</v>
      </c>
      <c r="V120" s="59" t="s">
        <v>56</v>
      </c>
      <c r="W120" s="59" t="s">
        <v>56</v>
      </c>
      <c r="X120" s="60" t="s">
        <v>56</v>
      </c>
      <c r="Y120" s="60" t="s">
        <v>56</v>
      </c>
      <c r="Z120" s="60" t="s">
        <v>56</v>
      </c>
      <c r="AA120" s="60" t="s">
        <v>56</v>
      </c>
      <c r="AB120" s="60" t="s">
        <v>56</v>
      </c>
      <c r="AC120" s="60" t="s">
        <v>56</v>
      </c>
      <c r="AD120" s="60" t="s">
        <v>56</v>
      </c>
      <c r="AE120" s="61" t="s">
        <v>56</v>
      </c>
      <c r="AF120" s="61" t="s">
        <v>56</v>
      </c>
      <c r="AG120" s="61" t="s">
        <v>56</v>
      </c>
      <c r="AH120" s="61" t="s">
        <v>56</v>
      </c>
      <c r="AI120" s="59" t="s">
        <v>56</v>
      </c>
      <c r="AJ120" s="59" t="s">
        <v>56</v>
      </c>
      <c r="AK120" s="59" t="s">
        <v>56</v>
      </c>
      <c r="AL120" s="59" t="s">
        <v>56</v>
      </c>
      <c r="AM120" s="59"/>
      <c r="AN120" s="59"/>
      <c r="AO120" s="62" t="s">
        <v>56</v>
      </c>
      <c r="AP120" s="62" t="s">
        <v>56</v>
      </c>
      <c r="AQ120" s="62" t="s">
        <v>56</v>
      </c>
      <c r="AR120" s="62" t="s">
        <v>56</v>
      </c>
      <c r="AS120" s="8"/>
    </row>
    <row r="121" spans="1:45" ht="12.75">
      <c r="A121" s="85" t="s">
        <v>328</v>
      </c>
      <c r="B121" s="86"/>
      <c r="C121" s="86"/>
      <c r="D121" s="86"/>
      <c r="E121" s="86"/>
      <c r="F121" s="86"/>
      <c r="G121" s="73"/>
      <c r="H121" s="47"/>
      <c r="I121" s="47"/>
      <c r="J121" s="47"/>
      <c r="K121" s="48"/>
      <c r="L121" s="73">
        <v>2217</v>
      </c>
      <c r="M121" s="47"/>
      <c r="N121" s="47"/>
      <c r="O121" s="53" t="s">
        <v>56</v>
      </c>
      <c r="P121" s="54" t="s">
        <v>56</v>
      </c>
      <c r="Q121" s="53" t="s">
        <v>56</v>
      </c>
      <c r="R121" s="53" t="s">
        <v>56</v>
      </c>
      <c r="S121" s="53" t="s">
        <v>56</v>
      </c>
      <c r="T121" s="54" t="s">
        <v>56</v>
      </c>
      <c r="U121" s="54" t="s">
        <v>56</v>
      </c>
      <c r="V121" s="53" t="s">
        <v>56</v>
      </c>
      <c r="W121" s="53" t="s">
        <v>56</v>
      </c>
      <c r="X121" s="54" t="s">
        <v>56</v>
      </c>
      <c r="Y121" s="54" t="s">
        <v>56</v>
      </c>
      <c r="Z121" s="54" t="s">
        <v>56</v>
      </c>
      <c r="AA121" s="54" t="s">
        <v>56</v>
      </c>
      <c r="AB121" s="54" t="s">
        <v>56</v>
      </c>
      <c r="AC121" s="54" t="s">
        <v>56</v>
      </c>
      <c r="AD121" s="54" t="s">
        <v>56</v>
      </c>
      <c r="AE121" s="55" t="s">
        <v>56</v>
      </c>
      <c r="AF121" s="55" t="s">
        <v>56</v>
      </c>
      <c r="AG121" s="55" t="s">
        <v>56</v>
      </c>
      <c r="AH121" s="55" t="s">
        <v>56</v>
      </c>
      <c r="AI121" s="53" t="s">
        <v>56</v>
      </c>
      <c r="AJ121" s="53" t="s">
        <v>56</v>
      </c>
      <c r="AK121" s="53" t="s">
        <v>56</v>
      </c>
      <c r="AL121" s="53" t="s">
        <v>56</v>
      </c>
      <c r="AM121" s="53"/>
      <c r="AN121" s="53"/>
      <c r="AO121" s="56" t="s">
        <v>56</v>
      </c>
      <c r="AP121" s="56" t="s">
        <v>56</v>
      </c>
      <c r="AQ121" s="56" t="s">
        <v>56</v>
      </c>
      <c r="AR121" s="56" t="s">
        <v>56</v>
      </c>
      <c r="AS121" s="8"/>
    </row>
    <row r="122" spans="15:47" ht="12.75"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40"/>
      <c r="AT122" s="40"/>
      <c r="AU122" s="40"/>
    </row>
    <row r="123" spans="1:45" ht="12.75">
      <c r="A123" s="41" t="s">
        <v>342</v>
      </c>
      <c r="D123" s="42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8"/>
    </row>
    <row r="124" spans="1:45" ht="12.75">
      <c r="A124" s="43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8"/>
    </row>
    <row r="125" spans="1:45" ht="12.75">
      <c r="A125" s="4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8"/>
    </row>
    <row r="126" spans="15:45" ht="12.75"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8"/>
    </row>
    <row r="127" spans="15:45" ht="12.75"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8"/>
    </row>
    <row r="128" spans="15:45" ht="12.75"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8"/>
    </row>
    <row r="129" spans="15:45" ht="12.75"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8"/>
    </row>
    <row r="130" spans="15:45" ht="12.75"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8"/>
    </row>
    <row r="131" spans="15:45" ht="12.75"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8"/>
    </row>
    <row r="132" spans="15:45" ht="12.75"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8"/>
    </row>
    <row r="133" spans="15:45" ht="12.75"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8"/>
    </row>
    <row r="134" spans="15:45" ht="12.75"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8"/>
    </row>
    <row r="135" spans="15:45" ht="12.75"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8"/>
    </row>
    <row r="136" spans="15:45" ht="12.75"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8"/>
    </row>
    <row r="137" spans="15:45" ht="12.75"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8"/>
    </row>
    <row r="138" spans="15:45" ht="12.75"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8"/>
    </row>
    <row r="139" spans="15:45" ht="12.75"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8"/>
    </row>
    <row r="140" spans="15:45" ht="12.75"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8"/>
    </row>
    <row r="141" spans="15:45" ht="12.75"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8"/>
    </row>
    <row r="142" spans="15:45" ht="12.75"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8"/>
    </row>
    <row r="143" spans="15:45" ht="12.75"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8"/>
    </row>
    <row r="144" spans="15:45" ht="12.75"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8"/>
    </row>
    <row r="145" spans="15:45" ht="12.75"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8"/>
    </row>
    <row r="146" spans="15:45" ht="12.75"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8"/>
    </row>
    <row r="147" spans="15:45" ht="12.75"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8"/>
    </row>
    <row r="148" spans="15:45" ht="12.75"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8"/>
    </row>
    <row r="149" spans="15:45" ht="12.75"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8"/>
    </row>
    <row r="150" spans="15:45" ht="12.75"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8"/>
    </row>
    <row r="151" spans="15:45" ht="12.75"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8"/>
    </row>
    <row r="152" spans="15:45" ht="12.75"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8"/>
    </row>
    <row r="153" spans="15:45" ht="12.75"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8"/>
    </row>
    <row r="154" spans="15:45" ht="12.75"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8"/>
    </row>
    <row r="155" spans="15:45" ht="12.75"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8"/>
    </row>
    <row r="156" spans="15:45" ht="12.75"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8"/>
    </row>
    <row r="157" spans="15:45" ht="12.75"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8"/>
    </row>
    <row r="158" spans="15:45" ht="12.75"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8"/>
    </row>
    <row r="159" spans="15:45" ht="12.75"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8"/>
    </row>
    <row r="160" spans="15:45" ht="12.75"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8"/>
    </row>
    <row r="161" spans="15:45" ht="12.75"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8"/>
    </row>
    <row r="162" spans="15:45" ht="12.75"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8"/>
    </row>
    <row r="163" spans="15:45" ht="12.75"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8"/>
    </row>
    <row r="164" spans="15:45" ht="12.75"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8"/>
    </row>
    <row r="165" spans="15:45" ht="12.75"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8"/>
    </row>
    <row r="166" spans="15:45" ht="12.75"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8"/>
    </row>
    <row r="167" spans="15:45" ht="12.75"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8"/>
    </row>
    <row r="168" spans="15:45" ht="12.75"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8"/>
    </row>
    <row r="169" spans="15:45" ht="12.75"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8"/>
    </row>
    <row r="170" spans="15:45" ht="12.75"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8"/>
    </row>
    <row r="171" spans="15:45" ht="12.75"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8"/>
    </row>
    <row r="172" spans="15:45" ht="12.75"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8"/>
    </row>
    <row r="173" spans="15:45" ht="12.75"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8"/>
    </row>
    <row r="174" spans="15:45" ht="12.75"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8"/>
    </row>
    <row r="175" spans="15:45" ht="12.75"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8"/>
    </row>
    <row r="176" spans="15:45" ht="12.75"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8"/>
    </row>
    <row r="177" spans="15:45" ht="12.75"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8"/>
    </row>
    <row r="178" spans="15:45" ht="12.75"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8"/>
    </row>
    <row r="179" spans="15:45" ht="12.75"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8"/>
    </row>
    <row r="180" spans="15:45" ht="12.75"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8"/>
    </row>
    <row r="181" spans="15:45" ht="12.75"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8"/>
    </row>
    <row r="182" spans="15:45" ht="12.75"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8"/>
    </row>
    <row r="183" spans="15:45" ht="12.75"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8"/>
    </row>
    <row r="184" spans="15:45" ht="12.75"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8"/>
    </row>
    <row r="185" spans="15:45" ht="12.75"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8"/>
    </row>
    <row r="186" spans="15:45" ht="12.75"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8"/>
    </row>
    <row r="187" spans="15:45" ht="12.75"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8"/>
    </row>
    <row r="188" spans="15:45" ht="12.75"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8"/>
    </row>
    <row r="189" spans="15:45" ht="12.75"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8"/>
    </row>
    <row r="190" spans="15:45" ht="12.75"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8"/>
    </row>
    <row r="191" spans="15:45" ht="12.75"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8"/>
    </row>
    <row r="192" spans="15:45" ht="12.75"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8"/>
    </row>
    <row r="193" spans="15:45" ht="12.75"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8"/>
    </row>
    <row r="194" spans="15:45" ht="12.75"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8"/>
    </row>
    <row r="195" spans="15:45" ht="12.75"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8"/>
    </row>
    <row r="196" spans="15:45" ht="12.75"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8"/>
    </row>
    <row r="197" spans="15:45" ht="12.75"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8"/>
    </row>
    <row r="198" spans="15:45" ht="12.75"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8"/>
    </row>
    <row r="199" spans="15:45" ht="12.75"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8"/>
    </row>
    <row r="200" spans="15:45" ht="12.75"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8"/>
    </row>
    <row r="201" spans="15:45" ht="12.75"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8"/>
    </row>
    <row r="202" spans="15:45" ht="12.75"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8"/>
    </row>
    <row r="203" spans="15:45" ht="12.75"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8"/>
    </row>
    <row r="204" spans="15:45" ht="12.75"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8"/>
    </row>
    <row r="205" spans="15:45" ht="12.75"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8"/>
    </row>
    <row r="206" spans="15:45" ht="12.75"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8"/>
    </row>
    <row r="207" spans="15:45" ht="12.75"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8"/>
    </row>
    <row r="208" spans="15:45" ht="12.75"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8"/>
    </row>
    <row r="209" spans="15:45" ht="12.75"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8"/>
    </row>
    <row r="210" spans="15:45" ht="12.75"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8"/>
    </row>
    <row r="211" spans="15:45" ht="12.75"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8"/>
    </row>
    <row r="212" spans="15:45" ht="12.75"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8"/>
    </row>
    <row r="213" spans="15:45" ht="12.75"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8"/>
    </row>
    <row r="214" spans="15:45" ht="12.75"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8"/>
    </row>
    <row r="215" spans="15:45" ht="12.75"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8"/>
    </row>
    <row r="216" spans="15:45" ht="12.75"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8"/>
    </row>
    <row r="217" spans="15:45" ht="12.75"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8"/>
    </row>
    <row r="218" spans="15:45" ht="12.75"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8"/>
    </row>
    <row r="219" spans="15:45" ht="12.75"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8"/>
    </row>
    <row r="220" spans="15:45" ht="12.75"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8"/>
    </row>
    <row r="221" spans="15:45" ht="12.75"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8"/>
    </row>
    <row r="222" spans="15:45" ht="12.75"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8"/>
    </row>
    <row r="223" spans="15:45" ht="12.75"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8"/>
    </row>
    <row r="224" spans="15:45" ht="12.75"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8"/>
    </row>
    <row r="225" spans="15:45" ht="12.75"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8"/>
    </row>
    <row r="226" spans="15:45" ht="12.75"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8"/>
    </row>
    <row r="227" spans="15:45" ht="12.75"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8"/>
    </row>
    <row r="228" spans="15:45" ht="12.75"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8"/>
    </row>
    <row r="229" spans="15:45" ht="12.75"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8"/>
    </row>
    <row r="230" spans="15:45" ht="12.75"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8"/>
    </row>
    <row r="231" spans="15:45" ht="12.75"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8"/>
    </row>
    <row r="232" spans="15:45" ht="12.75"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8"/>
    </row>
    <row r="233" spans="15:45" ht="12.75"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8"/>
    </row>
    <row r="234" spans="15:45" ht="12.75"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8"/>
    </row>
    <row r="235" spans="15:45" ht="12.75"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8"/>
    </row>
    <row r="236" spans="15:45" ht="12.75"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8"/>
    </row>
    <row r="237" spans="15:45" ht="12.75"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8"/>
    </row>
    <row r="238" spans="15:45" ht="12.75"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8"/>
    </row>
    <row r="239" spans="15:45" ht="12.75"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8"/>
    </row>
    <row r="240" spans="15:45" ht="12.75"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8"/>
    </row>
    <row r="241" spans="15:45" ht="12.75"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8"/>
    </row>
    <row r="242" spans="15:45" ht="12.75"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8"/>
    </row>
    <row r="243" spans="15:45" ht="12.75"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8"/>
    </row>
    <row r="244" spans="15:45" ht="12.75"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8"/>
    </row>
    <row r="245" spans="15:45" ht="12.75"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8"/>
    </row>
    <row r="246" spans="15:45" ht="12.75"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8"/>
    </row>
    <row r="247" spans="15:45" ht="12.75"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8"/>
    </row>
    <row r="248" spans="15:45" ht="12.75"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8"/>
    </row>
    <row r="249" spans="15:45" ht="12.75"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8"/>
    </row>
    <row r="250" spans="15:45" ht="12.75"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8"/>
    </row>
    <row r="251" spans="15:45" ht="12.75"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8"/>
    </row>
    <row r="252" spans="15:45" ht="12.75"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8"/>
    </row>
    <row r="253" spans="15:45" ht="12.75"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8"/>
    </row>
    <row r="254" spans="15:45" ht="12.75"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8"/>
    </row>
    <row r="255" spans="15:45" ht="12.75"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8"/>
    </row>
    <row r="256" spans="15:45" ht="12.75"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8"/>
    </row>
    <row r="257" spans="15:45" ht="12.75"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8"/>
    </row>
    <row r="258" spans="15:45" ht="12.75"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8"/>
    </row>
    <row r="259" spans="15:45" ht="12.75"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8"/>
    </row>
    <row r="260" spans="15:45" ht="12.75"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8"/>
    </row>
    <row r="261" spans="15:45" ht="12.75"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8"/>
    </row>
    <row r="262" spans="15:45" ht="12.75"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8"/>
    </row>
    <row r="263" spans="15:45" ht="12.75"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8"/>
    </row>
    <row r="264" spans="15:45" ht="12.75"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8"/>
    </row>
    <row r="265" spans="15:45" ht="12.75"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8"/>
    </row>
    <row r="266" spans="15:45" ht="12.75"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8"/>
    </row>
    <row r="267" spans="15:45" ht="12.75"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8"/>
    </row>
    <row r="268" spans="15:45" ht="12.75"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8"/>
    </row>
    <row r="269" spans="15:45" ht="12.75"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8"/>
    </row>
    <row r="270" spans="15:45" ht="12.75"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8"/>
    </row>
    <row r="271" spans="15:45" ht="12.75"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8"/>
    </row>
    <row r="272" spans="15:45" ht="12.75"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8"/>
    </row>
    <row r="273" spans="15:45" ht="12.75"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8"/>
    </row>
    <row r="274" spans="15:45" ht="12.75"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8"/>
    </row>
    <row r="275" spans="15:45" ht="12.75"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8"/>
    </row>
    <row r="276" spans="15:45" ht="12.75"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8"/>
    </row>
    <row r="277" spans="15:45" ht="12.75"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8"/>
    </row>
    <row r="278" spans="15:45" ht="12.75"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8"/>
    </row>
    <row r="279" spans="15:45" ht="12.75"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8"/>
    </row>
    <row r="280" spans="15:45" ht="12.75"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8"/>
    </row>
    <row r="281" spans="15:45" ht="12.75"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8"/>
    </row>
    <row r="282" spans="15:45" ht="12.75"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8"/>
    </row>
    <row r="283" spans="15:45" ht="12.75"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8"/>
    </row>
    <row r="284" spans="15:45" ht="12.75"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8"/>
    </row>
    <row r="285" spans="15:45" ht="12.75"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8"/>
    </row>
    <row r="286" spans="15:45" ht="12.75"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8"/>
    </row>
    <row r="287" spans="15:45" ht="12.75"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8"/>
    </row>
    <row r="288" spans="15:45" ht="12.75"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8"/>
    </row>
    <row r="289" spans="15:45" ht="12.75"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8"/>
    </row>
    <row r="290" spans="15:45" ht="12.75"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8"/>
    </row>
    <row r="291" spans="15:45" ht="12.75"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8"/>
    </row>
    <row r="292" spans="15:45" ht="12.75"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8"/>
    </row>
    <row r="293" spans="15:45" ht="12.75"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8"/>
    </row>
    <row r="294" spans="15:45" ht="12.75"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8"/>
    </row>
    <row r="295" spans="15:45" ht="12.75"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8"/>
    </row>
    <row r="296" spans="15:45" ht="12.75"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8"/>
    </row>
    <row r="297" spans="15:45" ht="12.75"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8"/>
    </row>
    <row r="298" spans="15:45" ht="12.75"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8"/>
    </row>
    <row r="299" spans="15:45" ht="12.75"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8"/>
    </row>
    <row r="300" spans="15:45" ht="12.75"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8"/>
    </row>
    <row r="301" spans="15:45" ht="12.75"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8"/>
    </row>
    <row r="302" spans="15:45" ht="12.75"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8"/>
    </row>
    <row r="303" spans="15:45" ht="12.75"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8"/>
    </row>
    <row r="304" spans="15:45" ht="12.75"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8"/>
    </row>
    <row r="305" spans="15:45" ht="12.75"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8"/>
    </row>
    <row r="306" spans="15:45" ht="12.75"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8"/>
    </row>
    <row r="307" spans="15:45" ht="12.75"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8"/>
    </row>
    <row r="308" spans="15:45" ht="12.75"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8"/>
    </row>
    <row r="309" spans="15:45" ht="12.75"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8"/>
    </row>
    <row r="310" spans="15:45" ht="12.75"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8"/>
    </row>
    <row r="311" spans="15:45" ht="12.75"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8"/>
    </row>
    <row r="312" spans="15:45" ht="12.75"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8"/>
    </row>
    <row r="313" spans="15:45" ht="12.75"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8"/>
    </row>
    <row r="314" spans="15:45" ht="12.75"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8"/>
    </row>
    <row r="315" spans="15:45" ht="12.75"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8"/>
    </row>
    <row r="316" spans="15:45" ht="12.75"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8"/>
    </row>
    <row r="317" spans="15:45" ht="12.75"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8"/>
    </row>
    <row r="318" spans="15:45" ht="12.75"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8"/>
    </row>
    <row r="319" spans="15:45" ht="12.75"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8"/>
    </row>
    <row r="320" spans="15:45" ht="12.75"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8"/>
    </row>
    <row r="321" spans="15:45" ht="12.75"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8"/>
    </row>
    <row r="322" spans="15:45" ht="12.75"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8"/>
    </row>
    <row r="323" spans="15:45" ht="12.75"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8"/>
    </row>
    <row r="324" spans="15:45" ht="12.75"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8"/>
    </row>
    <row r="325" spans="15:45" ht="12.75"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8"/>
    </row>
    <row r="326" spans="15:45" ht="12.75"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8"/>
    </row>
    <row r="327" spans="15:45" ht="12.75"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8"/>
    </row>
    <row r="328" spans="15:45" ht="12.75"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8"/>
    </row>
    <row r="329" spans="15:45" ht="12.75"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8"/>
    </row>
    <row r="330" spans="15:45" ht="12.75"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8"/>
    </row>
    <row r="331" spans="15:45" ht="12.75"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8"/>
    </row>
    <row r="332" spans="15:45" ht="12.75"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8"/>
    </row>
    <row r="333" spans="15:45" ht="12.75"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8"/>
    </row>
    <row r="334" spans="15:45" ht="12.75"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8"/>
    </row>
    <row r="335" spans="15:45" ht="12.75"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8"/>
    </row>
    <row r="336" spans="15:45" ht="12.75"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8"/>
    </row>
    <row r="337" spans="15:45" ht="12.75"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8"/>
    </row>
    <row r="338" spans="15:45" ht="12.75"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8"/>
    </row>
    <row r="339" spans="15:45" ht="12.75"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8"/>
    </row>
    <row r="340" spans="15:45" ht="12.75"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8"/>
    </row>
    <row r="341" spans="15:45" ht="12.75"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8"/>
    </row>
    <row r="342" spans="15:45" ht="12.75"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8"/>
    </row>
    <row r="343" spans="15:45" ht="12.75"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8"/>
    </row>
    <row r="344" spans="15:45" ht="12.75"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8"/>
    </row>
    <row r="345" spans="15:45" ht="12.75"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8"/>
    </row>
    <row r="346" spans="15:45" ht="12.75"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8"/>
    </row>
    <row r="347" spans="15:45" ht="12.75"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8"/>
    </row>
    <row r="348" spans="15:45" ht="12.75"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8"/>
    </row>
    <row r="349" spans="15:45" ht="12.75"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8"/>
    </row>
    <row r="350" spans="15:45" ht="12.75"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8"/>
    </row>
    <row r="351" spans="15:45" ht="12.75"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8"/>
    </row>
    <row r="352" spans="15:45" ht="12.75"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8"/>
    </row>
    <row r="353" spans="15:45" ht="12.75"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8"/>
    </row>
    <row r="354" spans="15:45" ht="12.75"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8"/>
    </row>
    <row r="355" spans="15:45" ht="12.75"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8"/>
    </row>
    <row r="356" spans="15:45" ht="12.75"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8"/>
    </row>
    <row r="357" spans="15:45" ht="12.75"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8"/>
    </row>
    <row r="358" spans="15:45" ht="12.75"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8"/>
    </row>
    <row r="359" spans="15:45" ht="12.75"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8"/>
    </row>
    <row r="360" spans="15:45" ht="12.75"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8"/>
    </row>
    <row r="361" spans="15:45" ht="12.75"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8"/>
    </row>
    <row r="362" spans="15:45" ht="12.75"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8"/>
    </row>
    <row r="363" spans="15:45" ht="12.75"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8"/>
    </row>
    <row r="364" spans="15:45" ht="12.75"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8"/>
    </row>
    <row r="365" spans="15:45" ht="12.75"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8"/>
    </row>
    <row r="366" spans="15:45" ht="12.75"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8"/>
    </row>
    <row r="367" spans="15:45" ht="12.75"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8"/>
    </row>
    <row r="368" spans="15:45" ht="12.75"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8"/>
    </row>
    <row r="369" spans="15:45" ht="12.75"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8"/>
    </row>
    <row r="370" spans="15:45" ht="12.75"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8"/>
    </row>
    <row r="371" spans="15:45" ht="12.75"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8"/>
    </row>
    <row r="372" spans="15:45" ht="12.75"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8"/>
    </row>
    <row r="373" spans="15:45" ht="12.75"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8"/>
    </row>
    <row r="374" spans="15:45" ht="12.75"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8"/>
    </row>
    <row r="375" spans="15:45" ht="12.75"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8"/>
    </row>
    <row r="376" spans="15:45" ht="12.75"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8"/>
    </row>
    <row r="377" spans="15:45" ht="12.75"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8"/>
    </row>
    <row r="378" spans="15:45" ht="12.75"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8"/>
    </row>
    <row r="379" spans="15:45" ht="12.75"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8"/>
    </row>
    <row r="380" spans="15:45" ht="12.75"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8"/>
    </row>
    <row r="381" spans="15:45" ht="12.75"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8"/>
    </row>
    <row r="382" spans="15:45" ht="12.75"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8"/>
    </row>
    <row r="383" spans="15:45" ht="12.75"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8"/>
    </row>
    <row r="384" spans="15:45" ht="12.75"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8"/>
    </row>
    <row r="385" spans="15:45" ht="12.75"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8"/>
    </row>
    <row r="386" spans="15:45" ht="12.75"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8"/>
    </row>
    <row r="387" spans="15:45" ht="12.75"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8"/>
    </row>
    <row r="388" spans="15:45" ht="12.75"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8"/>
    </row>
    <row r="389" spans="15:45" ht="12.75"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8"/>
    </row>
    <row r="390" spans="15:45" ht="12.75"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8"/>
    </row>
    <row r="391" spans="15:45" ht="12.75"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8"/>
    </row>
    <row r="392" spans="15:45" ht="12.75"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8"/>
    </row>
    <row r="393" spans="15:45" ht="12.75"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8"/>
    </row>
    <row r="394" spans="15:45" ht="12.75"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8"/>
    </row>
    <row r="395" spans="15:45" ht="12.75"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8"/>
    </row>
    <row r="396" spans="15:45" ht="12.75"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8"/>
    </row>
    <row r="397" spans="15:45" ht="12.75"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8"/>
    </row>
    <row r="398" spans="15:45" ht="12.75"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8"/>
    </row>
    <row r="399" spans="15:45" ht="12.75"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8"/>
    </row>
    <row r="400" spans="15:45" ht="12.75"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8"/>
    </row>
    <row r="401" spans="15:45" ht="12.75"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8"/>
    </row>
    <row r="402" spans="15:45" ht="12.75"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8"/>
    </row>
    <row r="403" spans="15:45" ht="12.75"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8"/>
    </row>
    <row r="404" spans="15:45" ht="12.75"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8"/>
    </row>
    <row r="405" spans="15:45" ht="12.75"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8"/>
    </row>
    <row r="406" spans="15:45" ht="12.75"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8"/>
    </row>
    <row r="407" spans="15:45" ht="12.75"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8"/>
    </row>
    <row r="408" spans="15:45" ht="12.75"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8"/>
    </row>
    <row r="409" spans="15:45" ht="12.75"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8"/>
    </row>
    <row r="410" spans="15:45" ht="12.75"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8"/>
    </row>
    <row r="411" spans="15:45" ht="12.75"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8"/>
    </row>
    <row r="412" spans="15:45" ht="12.75"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8"/>
    </row>
    <row r="413" spans="15:45" ht="12.75"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8"/>
    </row>
    <row r="414" spans="15:45" ht="12.75"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8"/>
    </row>
    <row r="415" spans="15:45" ht="12.75"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8"/>
    </row>
    <row r="416" spans="15:45" ht="12.75"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8"/>
    </row>
    <row r="417" spans="15:45" ht="12.75"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8"/>
    </row>
    <row r="418" spans="15:45" ht="12.75"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8"/>
    </row>
    <row r="419" spans="15:45" ht="12.75"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8"/>
    </row>
    <row r="420" spans="15:45" ht="12.75"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8"/>
    </row>
    <row r="421" spans="15:45" ht="12.75"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8"/>
    </row>
    <row r="422" spans="15:45" ht="12.75"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8"/>
    </row>
    <row r="423" spans="15:45" ht="12.75"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8"/>
    </row>
    <row r="424" spans="15:45" ht="12.75"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8"/>
    </row>
    <row r="425" spans="15:45" ht="12.75"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8"/>
    </row>
    <row r="426" spans="15:45" ht="12.75"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8"/>
    </row>
    <row r="427" spans="15:45" ht="12.75"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8"/>
    </row>
    <row r="428" spans="15:45" ht="12.75"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8"/>
    </row>
    <row r="429" spans="15:45" ht="12.75"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8"/>
    </row>
    <row r="430" spans="15:45" ht="12.75"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8"/>
    </row>
    <row r="431" spans="15:45" ht="12.75"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8"/>
    </row>
    <row r="432" spans="15:45" ht="12.75"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8"/>
    </row>
    <row r="433" spans="15:45" ht="12.75"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8"/>
    </row>
    <row r="434" spans="15:45" ht="12.75"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8"/>
    </row>
    <row r="435" spans="15:45" ht="12.75"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8"/>
    </row>
    <row r="436" spans="15:45" ht="12.75"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8"/>
    </row>
    <row r="437" spans="15:45" ht="12.75"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8"/>
    </row>
    <row r="438" spans="15:45" ht="12.75"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8"/>
    </row>
    <row r="439" spans="15:45" ht="12.75"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8"/>
    </row>
    <row r="440" spans="15:45" ht="12.75"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8"/>
    </row>
    <row r="441" spans="15:45" ht="12.75"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8"/>
    </row>
    <row r="442" spans="15:45" ht="12.75"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8"/>
    </row>
    <row r="443" spans="15:45" ht="12.75"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8"/>
    </row>
    <row r="444" spans="15:45" ht="12.75"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8"/>
    </row>
    <row r="445" spans="15:45" ht="12.75"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8"/>
    </row>
    <row r="446" spans="15:45" ht="12.75"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8"/>
    </row>
    <row r="447" spans="15:45" ht="12.75"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8"/>
    </row>
    <row r="448" spans="15:45" ht="12.75"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8"/>
    </row>
    <row r="449" spans="15:45" ht="12.75"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8"/>
    </row>
    <row r="450" spans="15:45" ht="12.75"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8"/>
    </row>
    <row r="451" spans="15:45" ht="12.75"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8"/>
    </row>
    <row r="452" spans="15:45" ht="12.75"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8"/>
    </row>
    <row r="453" spans="15:45" ht="12.75"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8"/>
    </row>
    <row r="454" spans="15:45" ht="12.75"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8"/>
    </row>
    <row r="455" spans="15:45" ht="12.75"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8"/>
    </row>
    <row r="456" spans="15:45" ht="12.75"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8"/>
    </row>
    <row r="457" spans="15:45" ht="12.75"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8"/>
    </row>
    <row r="458" spans="15:45" ht="12.75"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8"/>
    </row>
    <row r="459" spans="15:45" ht="12.75"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8"/>
    </row>
    <row r="460" spans="15:45" ht="12.75"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8"/>
    </row>
    <row r="461" spans="15:45" ht="12.75"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8"/>
    </row>
    <row r="462" spans="15:45" ht="12.75"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8"/>
    </row>
    <row r="463" spans="15:45" ht="12.75"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8"/>
    </row>
    <row r="464" spans="15:45" ht="12.75"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8"/>
    </row>
    <row r="465" spans="15:45" ht="12.75"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8"/>
    </row>
    <row r="466" spans="15:45" ht="12.75"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8"/>
    </row>
    <row r="467" spans="15:45" ht="12.75"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8"/>
    </row>
    <row r="468" spans="15:45" ht="12.75"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8"/>
    </row>
    <row r="469" spans="15:45" ht="12.75"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8"/>
    </row>
    <row r="470" spans="15:45" ht="12.75"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8"/>
    </row>
    <row r="471" spans="15:45" ht="12.75"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8"/>
    </row>
    <row r="472" spans="15:45" ht="12.75"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8"/>
    </row>
    <row r="473" spans="15:45" ht="12.75"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8"/>
    </row>
    <row r="474" spans="15:45" ht="12.75"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8"/>
    </row>
    <row r="475" spans="15:45" ht="12.75"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8"/>
    </row>
    <row r="476" spans="15:45" ht="12.75"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8"/>
    </row>
    <row r="477" spans="15:45" ht="12.75"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8"/>
    </row>
    <row r="478" spans="15:45" ht="12.75"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8"/>
    </row>
    <row r="479" spans="15:45" ht="12.75"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8"/>
    </row>
    <row r="480" spans="15:45" ht="12.75"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8"/>
    </row>
    <row r="481" spans="15:45" ht="12.75"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8"/>
    </row>
    <row r="482" spans="15:45" ht="12.75"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8"/>
    </row>
    <row r="483" spans="15:45" ht="12.75"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8"/>
    </row>
    <row r="484" spans="15:45" ht="12.75"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8"/>
    </row>
    <row r="485" spans="15:45" ht="12.75"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8"/>
    </row>
    <row r="486" spans="15:45" ht="12.75"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8"/>
    </row>
    <row r="487" spans="15:45" ht="12.75"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8"/>
    </row>
    <row r="488" spans="15:45" ht="12.75"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8"/>
    </row>
    <row r="489" spans="15:45" ht="12.75"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8"/>
    </row>
    <row r="490" spans="15:45" ht="12.75"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8"/>
    </row>
    <row r="491" spans="15:45" ht="12.75"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8"/>
    </row>
    <row r="492" spans="15:45" ht="12.75"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8"/>
    </row>
    <row r="493" spans="15:45" ht="12.75"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8"/>
    </row>
    <row r="494" spans="15:45" ht="12.75"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8"/>
    </row>
    <row r="495" spans="15:45" ht="12.75"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8"/>
    </row>
    <row r="496" spans="15:45" ht="12.75"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8"/>
    </row>
    <row r="497" spans="15:45" ht="12.75"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8"/>
    </row>
    <row r="498" spans="15:45" ht="12.75"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8"/>
    </row>
    <row r="499" spans="15:45" ht="12.75"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8"/>
    </row>
    <row r="500" spans="15:45" ht="12.75"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8"/>
    </row>
    <row r="501" spans="15:45" ht="12.75"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8"/>
    </row>
    <row r="502" spans="15:45" ht="12.75"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8"/>
    </row>
    <row r="503" spans="15:45" ht="12.75"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8"/>
    </row>
    <row r="504" spans="15:45" ht="12.75"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8"/>
    </row>
    <row r="505" spans="15:45" ht="12.75"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8"/>
    </row>
    <row r="506" spans="15:45" ht="12.75"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8"/>
    </row>
    <row r="507" spans="15:45" ht="12.75"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8"/>
    </row>
    <row r="508" spans="15:45" ht="12.75"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8"/>
    </row>
    <row r="509" spans="15:45" ht="12.75"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8"/>
    </row>
    <row r="510" spans="15:45" ht="12.75"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8"/>
    </row>
    <row r="511" spans="15:45" ht="12.75"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8"/>
    </row>
    <row r="512" spans="15:45" ht="12.75"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8"/>
    </row>
    <row r="513" spans="15:45" ht="12.75"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8"/>
    </row>
    <row r="514" spans="15:45" ht="12.75"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8"/>
    </row>
    <row r="515" spans="15:45" ht="12.75"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8"/>
    </row>
    <row r="516" spans="15:45" ht="12.75"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8"/>
    </row>
    <row r="517" spans="15:45" ht="12.75"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8"/>
    </row>
    <row r="518" spans="15:45" ht="12.75"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8"/>
    </row>
    <row r="519" spans="15:45" ht="12.75"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8"/>
    </row>
    <row r="520" spans="15:45" ht="12.75"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8"/>
    </row>
    <row r="521" spans="15:45" ht="12.75"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8"/>
    </row>
    <row r="522" spans="15:45" ht="12.75"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8"/>
    </row>
    <row r="523" spans="15:45" ht="12.75"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8"/>
    </row>
    <row r="524" spans="15:45" ht="12.75"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8"/>
    </row>
    <row r="525" spans="15:45" ht="12.75"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8"/>
    </row>
    <row r="526" spans="15:45" ht="12.75"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8"/>
    </row>
    <row r="527" spans="15:45" ht="12.75"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8"/>
    </row>
    <row r="528" spans="15:45" ht="12.75"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8"/>
    </row>
    <row r="529" spans="15:45" ht="12.75"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8"/>
    </row>
    <row r="530" spans="15:45" ht="12.75"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8"/>
    </row>
    <row r="531" spans="15:45" ht="12.75"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8"/>
    </row>
    <row r="532" spans="15:45" ht="12.75"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8"/>
    </row>
    <row r="533" spans="15:45" ht="12.75"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8"/>
    </row>
    <row r="534" spans="15:45" ht="12.75"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8"/>
    </row>
    <row r="535" spans="15:45" ht="12.75"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8"/>
    </row>
    <row r="536" spans="15:45" ht="12.75"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8"/>
    </row>
    <row r="537" spans="15:45" ht="12.75"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8"/>
    </row>
    <row r="538" spans="15:45" ht="12.75"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8"/>
    </row>
    <row r="539" spans="15:45" ht="12.75"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8"/>
    </row>
    <row r="540" spans="15:45" ht="12.75"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8"/>
    </row>
    <row r="541" spans="15:45" ht="12.75"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8"/>
    </row>
    <row r="542" spans="15:45" ht="12.75"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8"/>
    </row>
    <row r="543" spans="15:45" ht="12.75"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8"/>
    </row>
    <row r="544" spans="15:45" ht="12.75"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8"/>
    </row>
    <row r="545" spans="15:45" ht="12.75"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8"/>
    </row>
    <row r="546" spans="15:45" ht="12.75">
      <c r="O546" s="7"/>
      <c r="P546" s="7"/>
      <c r="Q546" s="7"/>
      <c r="AS546" s="8"/>
    </row>
    <row r="547" spans="15:17" ht="12.75">
      <c r="O547" s="7"/>
      <c r="P547" s="7"/>
      <c r="Q547" s="7"/>
    </row>
    <row r="548" spans="15:17" ht="12.75">
      <c r="O548" s="7"/>
      <c r="P548" s="7"/>
      <c r="Q548" s="7"/>
    </row>
    <row r="549" spans="15:17" ht="12.75">
      <c r="O549" s="7"/>
      <c r="P549" s="7"/>
      <c r="Q549" s="7"/>
    </row>
  </sheetData>
  <sheetProtection/>
  <mergeCells count="53">
    <mergeCell ref="L22:N22"/>
    <mergeCell ref="G22:I22"/>
    <mergeCell ref="J22:K22"/>
    <mergeCell ref="A22:A24"/>
    <mergeCell ref="B22:B24"/>
    <mergeCell ref="A12:N12"/>
    <mergeCell ref="K17:L17"/>
    <mergeCell ref="K19:L19"/>
    <mergeCell ref="K18:L18"/>
    <mergeCell ref="A26:AR26"/>
    <mergeCell ref="A32:F32"/>
    <mergeCell ref="A33:F33"/>
    <mergeCell ref="A34:F34"/>
    <mergeCell ref="A13:N13"/>
    <mergeCell ref="D23:D24"/>
    <mergeCell ref="G23:G24"/>
    <mergeCell ref="L23:L24"/>
    <mergeCell ref="D22:F22"/>
    <mergeCell ref="C22:C24"/>
    <mergeCell ref="A62:F62"/>
    <mergeCell ref="A63:F63"/>
    <mergeCell ref="A64:AR64"/>
    <mergeCell ref="A65:AR65"/>
    <mergeCell ref="A35:AR35"/>
    <mergeCell ref="A36:AR36"/>
    <mergeCell ref="A54:AR54"/>
    <mergeCell ref="A61:F61"/>
    <mergeCell ref="A93:AR93"/>
    <mergeCell ref="A97:AR97"/>
    <mergeCell ref="A105:F105"/>
    <mergeCell ref="A106:F106"/>
    <mergeCell ref="A89:F89"/>
    <mergeCell ref="A90:F90"/>
    <mergeCell ref="A91:F91"/>
    <mergeCell ref="A92:AR92"/>
    <mergeCell ref="A111:F111"/>
    <mergeCell ref="A112:F112"/>
    <mergeCell ref="A113:F113"/>
    <mergeCell ref="A114:F114"/>
    <mergeCell ref="A107:F107"/>
    <mergeCell ref="A108:F108"/>
    <mergeCell ref="A109:F109"/>
    <mergeCell ref="A110:F110"/>
    <mergeCell ref="A120:F120"/>
    <mergeCell ref="A121:F121"/>
    <mergeCell ref="A9:S9"/>
    <mergeCell ref="A10:N10"/>
    <mergeCell ref="A15:N15"/>
    <mergeCell ref="A115:F115"/>
    <mergeCell ref="A118:F118"/>
    <mergeCell ref="A119:F119"/>
    <mergeCell ref="A116:F116"/>
    <mergeCell ref="A117:F117"/>
  </mergeCells>
  <printOptions/>
  <pageMargins left="0.63" right="0.3937007874015748" top="0.3937007874015748" bottom="0.3937007874015748" header="0.23622047244094488" footer="0.23622047244094488"/>
  <pageSetup fitToHeight="30000" fitToWidth="1" horizontalDpi="600" verticalDpi="600" orientation="landscape" paperSize="9" scale="73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12.03.2008</cp:keywords>
  <dc:description/>
  <cp:lastModifiedBy>babkina</cp:lastModifiedBy>
  <cp:lastPrinted>2013-03-13T09:12:01Z</cp:lastPrinted>
  <dcterms:created xsi:type="dcterms:W3CDTF">2003-01-28T12:33:10Z</dcterms:created>
  <dcterms:modified xsi:type="dcterms:W3CDTF">2019-05-28T10:04:18Z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